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27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MEGA_FTN\Racun izravnanja\Vezbe\Vezbe ppt\"/>
    </mc:Choice>
  </mc:AlternateContent>
  <xr:revisionPtr revIDLastSave="0" documentId="13_ncr:9_{83170593-CD85-4CFA-92A2-1C0531B5FF21}" xr6:coauthVersionLast="45" xr6:coauthVersionMax="45" xr10:uidLastSave="{00000000-0000-0000-0000-000000000000}"/>
  <bookViews>
    <workbookView xWindow="-96" yWindow="-96" windowWidth="23232" windowHeight="12552" activeTab="1" xr2:uid="{00000000-000D-0000-FFFF-FFFF00000000}"/>
  </bookViews>
  <sheets>
    <sheet name="Primer 1" sheetId="1" r:id="rId1"/>
    <sheet name="Primer 2" sheetId="2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I14" i="2" l="1"/>
  <c r="L14" i="2"/>
  <c r="L13" i="2"/>
  <c r="I13" i="2"/>
  <c r="I12" i="2"/>
  <c r="L12" i="2"/>
  <c r="L11" i="2"/>
  <c r="L10" i="2"/>
  <c r="L9" i="2"/>
  <c r="Q61" i="1" l="1" a="1"/>
  <c r="Q61" i="1" s="1"/>
  <c r="P61" i="1" a="1"/>
  <c r="P61" i="1" s="1"/>
  <c r="F74" i="2" l="1" a="1"/>
  <c r="N36" i="2"/>
  <c r="F47" i="2" s="1"/>
  <c r="N23" i="2"/>
  <c r="M22" i="2"/>
  <c r="L21" i="2"/>
  <c r="F10" i="2"/>
  <c r="F11" i="2"/>
  <c r="F12" i="2"/>
  <c r="F13" i="2"/>
  <c r="O24" i="2" s="1"/>
  <c r="F14" i="2"/>
  <c r="P25" i="2" s="1"/>
  <c r="F15" i="2"/>
  <c r="Q26" i="2" s="1"/>
  <c r="F16" i="2"/>
  <c r="R27" i="2" s="1"/>
  <c r="F9" i="2"/>
  <c r="K20" i="2" s="1"/>
  <c r="C30" i="2" s="1" a="1"/>
  <c r="D30" i="2" s="1"/>
  <c r="D31" i="2" l="1"/>
  <c r="C31" i="2"/>
  <c r="E30" i="2"/>
  <c r="E32" i="2"/>
  <c r="C30" i="2"/>
  <c r="D32" i="2"/>
  <c r="C32" i="2"/>
  <c r="E31" i="2"/>
  <c r="H27" i="2"/>
  <c r="H26" i="2"/>
  <c r="H25" i="2"/>
  <c r="H24" i="2"/>
  <c r="H23" i="2"/>
  <c r="H22" i="2"/>
  <c r="H21" i="2"/>
  <c r="H20" i="2"/>
  <c r="C107" i="1"/>
  <c r="C106" i="1"/>
  <c r="C105" i="1"/>
  <c r="F94" i="1" a="1"/>
  <c r="F94" i="1" s="1"/>
  <c r="E44" i="1"/>
  <c r="E43" i="1"/>
  <c r="F71" i="1"/>
  <c r="N62" i="1"/>
  <c r="F8" i="1"/>
  <c r="F9" i="1"/>
  <c r="F7" i="1"/>
  <c r="L40" i="1"/>
  <c r="R41" i="1" s="1"/>
  <c r="L49" i="1" s="1"/>
  <c r="H30" i="2" l="1" a="1"/>
  <c r="H30" i="2" s="1"/>
  <c r="C35" i="2" a="1"/>
  <c r="C35" i="2" s="1"/>
  <c r="F98" i="1"/>
  <c r="F96" i="1"/>
  <c r="F95" i="1"/>
  <c r="F99" i="1"/>
  <c r="F97" i="1"/>
  <c r="R40" i="1"/>
  <c r="K48" i="1" s="1"/>
  <c r="R42" i="1"/>
  <c r="M50" i="1" s="1"/>
  <c r="H32" i="2" l="1"/>
  <c r="H31" i="2"/>
  <c r="C41" i="1"/>
  <c r="H35" i="2" l="1" a="1"/>
  <c r="H36" i="2" s="1"/>
  <c r="C55" i="2" s="1"/>
  <c r="C76" i="2" s="1"/>
  <c r="L43" i="1"/>
  <c r="R44" i="1" s="1"/>
  <c r="O52" i="1" s="1"/>
  <c r="L44" i="1"/>
  <c r="R45" i="1" s="1"/>
  <c r="P53" i="1" s="1"/>
  <c r="C39" i="1"/>
  <c r="H40" i="1" s="1"/>
  <c r="H49" i="1" s="1"/>
  <c r="C38" i="1"/>
  <c r="C79" i="2" l="1"/>
  <c r="H37" i="2"/>
  <c r="C56" i="2" s="1"/>
  <c r="C77" i="2" s="1"/>
  <c r="H35" i="2"/>
  <c r="K35" i="2" s="1" a="1"/>
  <c r="K41" i="2" s="1"/>
  <c r="D68" i="2" s="1"/>
  <c r="Q35" i="2" a="1"/>
  <c r="Q35" i="2" s="1"/>
  <c r="H39" i="1"/>
  <c r="H48" i="1" s="1"/>
  <c r="H41" i="1"/>
  <c r="H50" i="1" s="1"/>
  <c r="C40" i="1"/>
  <c r="L42" i="1"/>
  <c r="R43" i="1" s="1"/>
  <c r="N51" i="1" s="1"/>
  <c r="E45" i="1"/>
  <c r="E53" i="1" s="1"/>
  <c r="C45" i="1"/>
  <c r="E52" i="1" s="1"/>
  <c r="K35" i="2" l="1"/>
  <c r="D62" i="2" s="1"/>
  <c r="K40" i="2"/>
  <c r="D67" i="2" s="1"/>
  <c r="K38" i="2"/>
  <c r="D65" i="2" s="1"/>
  <c r="C54" i="2"/>
  <c r="C78" i="2" s="1"/>
  <c r="K39" i="2"/>
  <c r="D66" i="2" s="1"/>
  <c r="C75" i="2"/>
  <c r="K42" i="2"/>
  <c r="D69" i="2" s="1"/>
  <c r="C81" i="2"/>
  <c r="F81" i="2" s="1"/>
  <c r="K36" i="2"/>
  <c r="D63" i="2" s="1"/>
  <c r="K37" i="2"/>
  <c r="D64" i="2" s="1"/>
  <c r="C53" i="1"/>
  <c r="H44" i="1"/>
  <c r="H53" i="1" s="1"/>
  <c r="H43" i="1"/>
  <c r="H52" i="1" s="1"/>
  <c r="H42" i="1"/>
  <c r="H51" i="1" s="1"/>
  <c r="C43" i="1"/>
  <c r="C52" i="1" s="1"/>
  <c r="D53" i="1"/>
  <c r="C44" i="1"/>
  <c r="D52" i="1" s="1"/>
  <c r="N35" i="2" l="1" a="1"/>
  <c r="N35" i="2" s="1"/>
  <c r="C47" i="2" s="1"/>
  <c r="F76" i="2"/>
  <c r="P35" i="2" a="1"/>
  <c r="P35" i="2" s="1"/>
  <c r="F78" i="2"/>
  <c r="F79" i="2"/>
  <c r="C74" i="2"/>
  <c r="F74" i="2" s="1"/>
  <c r="F77" i="2"/>
  <c r="C80" i="2"/>
  <c r="F80" i="2" s="1"/>
  <c r="F75" i="2"/>
  <c r="C56" i="1" a="1"/>
  <c r="H56" i="1" a="1"/>
  <c r="C88" i="2" l="1"/>
  <c r="C87" i="2"/>
  <c r="C86" i="2"/>
  <c r="E56" i="1"/>
  <c r="D58" i="1"/>
  <c r="C56" i="1"/>
  <c r="E58" i="1"/>
  <c r="C57" i="1"/>
  <c r="D57" i="1"/>
  <c r="D56" i="1"/>
  <c r="C58" i="1"/>
  <c r="E57" i="1"/>
  <c r="H56" i="1"/>
  <c r="H57" i="1"/>
  <c r="H58" i="1"/>
  <c r="C61" i="1" l="1" a="1"/>
  <c r="C62" i="1" s="1"/>
  <c r="D63" i="1" l="1"/>
  <c r="C63" i="1"/>
  <c r="E62" i="1"/>
  <c r="D62" i="1"/>
  <c r="E63" i="1"/>
  <c r="E61" i="1"/>
  <c r="C61" i="1"/>
  <c r="D61" i="1"/>
  <c r="H61" i="1" l="1" a="1"/>
  <c r="H62" i="1" s="1"/>
  <c r="C86" i="1" l="1"/>
  <c r="C79" i="1"/>
  <c r="C95" i="1" s="1"/>
  <c r="H63" i="1"/>
  <c r="H61" i="1"/>
  <c r="K61" i="1" a="1"/>
  <c r="C85" i="1" l="1"/>
  <c r="C78" i="1"/>
  <c r="C87" i="1"/>
  <c r="C80" i="1"/>
  <c r="C99" i="1" s="1"/>
  <c r="K65" i="1"/>
  <c r="C89" i="1" s="1"/>
  <c r="K62" i="1"/>
  <c r="K63" i="1"/>
  <c r="K61" i="1"/>
  <c r="K66" i="1"/>
  <c r="C90" i="1" s="1"/>
  <c r="K64" i="1"/>
  <c r="C88" i="1" s="1"/>
  <c r="C98" i="1" l="1"/>
  <c r="C97" i="1"/>
  <c r="C96" i="1"/>
  <c r="C94" i="1"/>
  <c r="N61" i="1" a="1"/>
  <c r="N61" i="1" s="1"/>
  <c r="C71" i="1" s="1"/>
</calcChain>
</file>

<file path=xl/metadata.xml><?xml version="1.0" encoding="utf-8"?>
<metadata xmlns="http://purl.oclc.org/ooxml/spreadsheetml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<sst xmlns="http://purl.oclc.org/ooxml/spreadsheetml/main" count="161" uniqueCount="108">
  <si>
    <t>α=</t>
  </si>
  <si>
    <t>X0=</t>
  </si>
  <si>
    <t>Y0=</t>
  </si>
  <si>
    <t>Z0=</t>
  </si>
  <si>
    <t>m</t>
  </si>
  <si>
    <t>deg</t>
  </si>
  <si>
    <t>rad</t>
  </si>
  <si>
    <t>mm</t>
  </si>
  <si>
    <t>ρ=</t>
  </si>
  <si>
    <t>"</t>
  </si>
  <si>
    <t>a1=</t>
  </si>
  <si>
    <t>b1=</t>
  </si>
  <si>
    <t>c1=</t>
  </si>
  <si>
    <t>a2=</t>
  </si>
  <si>
    <t>b2=</t>
  </si>
  <si>
    <t>c2=</t>
  </si>
  <si>
    <t>A=</t>
  </si>
  <si>
    <t>dX</t>
  </si>
  <si>
    <t>dY</t>
  </si>
  <si>
    <t>dZ</t>
  </si>
  <si>
    <t xml:space="preserve">σu = </t>
  </si>
  <si>
    <t xml:space="preserve">σp = </t>
  </si>
  <si>
    <t>Usvajamo</t>
  </si>
  <si>
    <t xml:space="preserve">σ0 = </t>
  </si>
  <si>
    <t xml:space="preserve">σa= </t>
  </si>
  <si>
    <t xml:space="preserve">σb= </t>
  </si>
  <si>
    <t xml:space="preserve">σc= </t>
  </si>
  <si>
    <t>Pα=</t>
  </si>
  <si>
    <t>Pβ=</t>
  </si>
  <si>
    <t>Pγ=</t>
  </si>
  <si>
    <t>Pa=</t>
  </si>
  <si>
    <t>Pb=</t>
  </si>
  <si>
    <t>Pc=</t>
  </si>
  <si>
    <t>fα=</t>
  </si>
  <si>
    <t>fβ=</t>
  </si>
  <si>
    <t>fγ=</t>
  </si>
  <si>
    <t>fa=</t>
  </si>
  <si>
    <t>fb=</t>
  </si>
  <si>
    <t>fc=</t>
  </si>
  <si>
    <t>f=</t>
  </si>
  <si>
    <t>P=</t>
  </si>
  <si>
    <t>N=</t>
  </si>
  <si>
    <t>n=</t>
  </si>
  <si>
    <t>Qx=</t>
  </si>
  <si>
    <t>x=</t>
  </si>
  <si>
    <t>m0=</t>
  </si>
  <si>
    <t>f=n-u=</t>
  </si>
  <si>
    <t>v=</t>
  </si>
  <si>
    <t>Stepen</t>
  </si>
  <si>
    <t>Minut</t>
  </si>
  <si>
    <t>Sekund</t>
  </si>
  <si>
    <t>Dec zapis step</t>
  </si>
  <si>
    <t>α</t>
  </si>
  <si>
    <t>β</t>
  </si>
  <si>
    <t>γ</t>
  </si>
  <si>
    <t>Ugao</t>
  </si>
  <si>
    <t>a</t>
  </si>
  <si>
    <t>b</t>
  </si>
  <si>
    <t>c</t>
  </si>
  <si>
    <t>Duzina</t>
  </si>
  <si>
    <t>di [m]</t>
  </si>
  <si>
    <t>Globalni test na grube greske</t>
  </si>
  <si>
    <t>T=</t>
  </si>
  <si>
    <t>F=</t>
  </si>
  <si>
    <t>&lt;</t>
  </si>
  <si>
    <t>Nema grubih greska u merenjima!</t>
  </si>
  <si>
    <t>Izravnate vrednosti nepoznatih parametara</t>
  </si>
  <si>
    <t>X'=</t>
  </si>
  <si>
    <t>Y'=</t>
  </si>
  <si>
    <t>Z'=</t>
  </si>
  <si>
    <t>Izravnate vrednosti merenih velicina</t>
  </si>
  <si>
    <t>α'=</t>
  </si>
  <si>
    <t>β'=</t>
  </si>
  <si>
    <t>γ'=</t>
  </si>
  <si>
    <t>a'=</t>
  </si>
  <si>
    <t>b'=</t>
  </si>
  <si>
    <t>c'=</t>
  </si>
  <si>
    <t>Definitivna kontrolna izravnanja</t>
  </si>
  <si>
    <t>u=</t>
  </si>
  <si>
    <t>ü</t>
  </si>
  <si>
    <t>u-v=</t>
  </si>
  <si>
    <t>Analiza tačnosti geodetskih mreža</t>
  </si>
  <si>
    <t>σX=</t>
  </si>
  <si>
    <t>σY=</t>
  </si>
  <si>
    <t>σZ=</t>
  </si>
  <si>
    <t>Od</t>
  </si>
  <si>
    <t>Do</t>
  </si>
  <si>
    <t>Si [km]</t>
  </si>
  <si>
    <t>Reper</t>
  </si>
  <si>
    <t>Hi [m]</t>
  </si>
  <si>
    <t>Δhi [m]</t>
  </si>
  <si>
    <t>dH1</t>
  </si>
  <si>
    <t>dH2</t>
  </si>
  <si>
    <t>dH3</t>
  </si>
  <si>
    <t>Pi</t>
  </si>
  <si>
    <t>H1'=</t>
  </si>
  <si>
    <t>H2'=</t>
  </si>
  <si>
    <t>H3'=</t>
  </si>
  <si>
    <t>Δhi' [m]</t>
  </si>
  <si>
    <t>σH1=</t>
  </si>
  <si>
    <t>σH2=</t>
  </si>
  <si>
    <t>σH3=</t>
  </si>
  <si>
    <t>H1,1=</t>
  </si>
  <si>
    <t>H1,2=</t>
  </si>
  <si>
    <t>H2,1=</t>
  </si>
  <si>
    <t>H2,2=</t>
  </si>
  <si>
    <t>H3,1=</t>
  </si>
  <si>
    <t>H3,2=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</si>
</sst>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theme="1"/>
      <name val="Wingdings"/>
      <charset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start/>
      <end/>
      <top/>
      <bottom/>
      <diagonal/>
    </border>
    <border>
      <start style="thick">
        <color auto="1"/>
      </start>
      <end style="thick">
        <color auto="1"/>
      </end>
      <top/>
      <bottom/>
      <diagonal/>
    </border>
    <border>
      <start style="thick">
        <color auto="1"/>
      </start>
      <end/>
      <top/>
      <bottom/>
      <diagonal/>
    </border>
    <border>
      <start/>
      <end style="thick">
        <color auto="1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1" fillId="0" borderId="0" xfId="0" applyFont="1" applyAlignment="1"/>
    <xf numFmtId="0" fontId="0" fillId="0" borderId="1" xfId="0" applyBorder="1"/>
    <xf numFmtId="164" fontId="0" fillId="0" borderId="0" xfId="0" applyNumberFormat="1"/>
    <xf numFmtId="0" fontId="0" fillId="0" borderId="4" xfId="0" applyBorder="1"/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3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vertical="center" readingOrder="1"/>
    </xf>
    <xf numFmtId="0" fontId="5" fillId="0" borderId="0" xfId="0" applyFont="1"/>
    <xf numFmtId="0" fontId="4" fillId="0" borderId="0" xfId="0" applyFont="1"/>
    <xf numFmtId="0" fontId="0" fillId="0" borderId="4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eetMetadata" Target="metadata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110490</xdr:colOff>
      <xdr:row>0</xdr:row>
      <xdr:rowOff>53340</xdr:rowOff>
    </xdr:from>
    <xdr:to>
      <xdr:col>11</xdr:col>
      <xdr:colOff>235341</xdr:colOff>
      <xdr:row>4</xdr:row>
      <xdr:rowOff>71641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6">
              <a:extLst>
                <a:ext uri="{FF2B5EF4-FFF2-40B4-BE49-F238E27FC236}">
                  <a16:creationId xmlns:a16="http://schemas.microsoft.com/office/drawing/2014/main" id="{0D4DFEB1-CEB9-4617-A009-7606DCAE796B}"/>
                </a:ext>
              </a:extLst>
            </xdr:cNvPr>
            <xdr:cNvSpPr txBox="1"/>
          </xdr:nvSpPr>
          <xdr:spPr>
            <a:xfrm>
              <a:off x="110490" y="53340"/>
              <a:ext cx="7165731" cy="749821"/>
            </a:xfrm>
            <a:prstGeom prst="rect">
              <a:avLst/>
            </a:prstGeom>
            <a:noFill/>
            <a:ln>
              <a:solidFill>
                <a:schemeClr val="tx1"/>
              </a:solidFill>
            </a:ln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sr-Latn-RS" sz="1400"/>
                <a:t>U trouglu su mereni uglovi i dužine: </a:t>
              </a:r>
              <a14:m>
                <m:oMath xmlns:m="http://purl.oclc.org/ooxml/officeDocument/math">
                  <m:r>
                    <a:rPr lang="en-US" sz="1400" b="0" i="1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𝛼</m:t>
                  </m:r>
                </m:oMath>
              </a14:m>
              <a:r>
                <a:rPr lang="sr-Latn-RS" sz="1400"/>
                <a:t>, </a:t>
              </a:r>
              <a14:m>
                <m:oMath xmlns:m="http://purl.oclc.org/ooxml/officeDocument/math">
                  <m:r>
                    <a:rPr lang="en-US" sz="1400" b="0" i="1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𝛽</m:t>
                  </m:r>
                </m:oMath>
              </a14:m>
              <a:r>
                <a:rPr lang="sr-Latn-RS" sz="1400"/>
                <a:t>, </a:t>
              </a:r>
              <a14:m>
                <m:oMath xmlns:m="http://purl.oclc.org/ooxml/officeDocument/math">
                  <m:r>
                    <a:rPr lang="en-US" sz="1400" b="0" i="1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𝛾</m:t>
                  </m:r>
                </m:oMath>
              </a14:m>
              <a:r>
                <a:rPr lang="sr-Latn-RS" sz="1400"/>
                <a:t>, </a:t>
              </a:r>
              <a14:m>
                <m:oMath xmlns:m="http://purl.oclc.org/ooxml/officeDocument/math">
                  <m:r>
                    <a:rPr lang="en-US" sz="1400" b="0" i="1">
                      <a:latin typeface="Cambria Math" panose="02040503050406030204" pitchFamily="18" charset="0"/>
                    </a:rPr>
                    <m:t>𝑎</m:t>
                  </m:r>
                </m:oMath>
              </a14:m>
              <a:r>
                <a:rPr lang="sr-Latn-RS" sz="1400"/>
                <a:t>, </a:t>
              </a:r>
              <a14:m>
                <m:oMath xmlns:m="http://purl.oclc.org/ooxml/officeDocument/math">
                  <m:r>
                    <a:rPr lang="en-US" sz="1400" b="0" i="1">
                      <a:latin typeface="Cambria Math" panose="02040503050406030204" pitchFamily="18" charset="0"/>
                    </a:rPr>
                    <m:t>𝑏</m:t>
                  </m:r>
                </m:oMath>
              </a14:m>
              <a:r>
                <a:rPr lang="sr-Latn-RS" sz="1400"/>
                <a:t> i </a:t>
              </a:r>
              <a14:m>
                <m:oMath xmlns:m="http://purl.oclc.org/ooxml/officeDocument/math">
                  <m:r>
                    <a:rPr lang="en-US" sz="1400" b="0" i="1">
                      <a:latin typeface="Cambria Math" panose="02040503050406030204" pitchFamily="18" charset="0"/>
                    </a:rPr>
                    <m:t>𝑐</m:t>
                  </m:r>
                </m:oMath>
              </a14:m>
              <a:r>
                <a:rPr lang="sr-Latn-RS" sz="1400"/>
                <a:t>. Standard merenja prav</a:t>
              </a:r>
              <a:r>
                <a:rPr lang="en-US" sz="1400"/>
                <a:t>a</a:t>
              </a:r>
              <a:r>
                <a:rPr lang="sr-Latn-RS" sz="1400"/>
                <a:t>ca iznosi 2</a:t>
              </a:r>
              <a:r>
                <a:rPr lang="en-US" sz="1400"/>
                <a:t>”, a du</a:t>
              </a:r>
              <a:r>
                <a:rPr lang="sr-Latn-RS" sz="1400"/>
                <a:t>žina 3mm + 3mm/km.</a:t>
              </a:r>
            </a:p>
            <a:p>
              <a:r>
                <a:rPr lang="sr-Latn-RS" sz="1400"/>
                <a:t>Izravnati rezultate merenja i oceniti tačnost merenja i izravnatih veličina.   </a:t>
              </a:r>
              <a:endParaRPr lang="en-US" sz="1400"/>
            </a:p>
          </xdr:txBody>
        </xdr:sp>
      </mc:Choice>
      <mc:Fallback xmlns="" xmlns:xdr="http://schemas.openxmlformats.org/drawingml/2006/spreadsheetDrawing" xmlns:a="http://schemas.openxmlformats.org/drawingml/2006/main">
        <xdr:sp macro="" textlink="">
          <xdr:nvSpPr>
            <xdr:cNvPr id="2" name="TextBox 16">
              <a:extLst>
                <a:ext uri="{FF2B5EF4-FFF2-40B4-BE49-F238E27FC236}">
                  <a16:creationId xmlns:a16="http://schemas.microsoft.com/office/drawing/2014/main" id="{0D4DFEB1-CEB9-4617-A009-7606DCAE796B}"/>
                </a:ext>
              </a:extLst>
            </xdr:cNvPr>
            <xdr:cNvSpPr txBox="1"/>
          </xdr:nvSpPr>
          <xdr:spPr>
            <a:xfrm>
              <a:off x="110490" y="53340"/>
              <a:ext cx="7165731" cy="749821"/>
            </a:xfrm>
            <a:prstGeom prst="rect">
              <a:avLst/>
            </a:prstGeom>
            <a:noFill/>
            <a:ln>
              <a:solidFill>
                <a:schemeClr val="tx1"/>
              </a:solidFill>
            </a:ln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sr-Latn-RS" sz="1400"/>
                <a:t>U trouglu su mereni uglovi i dužine: </a:t>
              </a:r>
              <a:r>
                <a:rPr lang="en-U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</a:t>
              </a:r>
              <a:r>
                <a:rPr lang="sr-Latn-RS" sz="1400"/>
                <a:t>, </a:t>
              </a:r>
              <a:r>
                <a:rPr lang="en-U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</a:t>
              </a:r>
              <a:r>
                <a:rPr lang="sr-Latn-RS" sz="1400"/>
                <a:t>, </a:t>
              </a:r>
              <a:r>
                <a:rPr lang="en-U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sr-Latn-RS" sz="1400"/>
                <a:t>, </a:t>
              </a:r>
              <a:r>
                <a:rPr lang="en-US" sz="1400" b="0" i="0">
                  <a:latin typeface="Cambria Math" panose="02040503050406030204" pitchFamily="18" charset="0"/>
                </a:rPr>
                <a:t>𝑎</a:t>
              </a:r>
              <a:r>
                <a:rPr lang="sr-Latn-RS" sz="1400"/>
                <a:t>, </a:t>
              </a:r>
              <a:r>
                <a:rPr lang="en-US" sz="1400" b="0" i="0">
                  <a:latin typeface="Cambria Math" panose="02040503050406030204" pitchFamily="18" charset="0"/>
                </a:rPr>
                <a:t>𝑏</a:t>
              </a:r>
              <a:r>
                <a:rPr lang="sr-Latn-RS" sz="1400"/>
                <a:t> i </a:t>
              </a:r>
              <a:r>
                <a:rPr lang="en-US" sz="1400" b="0" i="0">
                  <a:latin typeface="Cambria Math" panose="02040503050406030204" pitchFamily="18" charset="0"/>
                </a:rPr>
                <a:t>𝑐</a:t>
              </a:r>
              <a:r>
                <a:rPr lang="sr-Latn-RS" sz="1400"/>
                <a:t>. Standard merenja prav</a:t>
              </a:r>
              <a:r>
                <a:rPr lang="en-US" sz="1400"/>
                <a:t>a</a:t>
              </a:r>
              <a:r>
                <a:rPr lang="sr-Latn-RS" sz="1400"/>
                <a:t>ca iznosi 2</a:t>
              </a:r>
              <a:r>
                <a:rPr lang="en-US" sz="1400"/>
                <a:t>”, a du</a:t>
              </a:r>
              <a:r>
                <a:rPr lang="sr-Latn-RS" sz="1400"/>
                <a:t>žina 3mm + 3mm/km.</a:t>
              </a:r>
            </a:p>
            <a:p>
              <a:r>
                <a:rPr lang="sr-Latn-RS" sz="1400"/>
                <a:t>Izravnati rezultate merenja i oceniti tačnost merenja i izravnatih veličina.   </a:t>
              </a:r>
              <a:endParaRPr lang="en-US" sz="1400"/>
            </a:p>
          </xdr:txBody>
        </xdr:sp>
      </mc:Fallback>
    </mc:AlternateContent>
    <xdr:clientData/>
  </xdr:twoCellAnchor>
  <xdr:twoCellAnchor>
    <xdr:from>
      <xdr:col>1</xdr:col>
      <xdr:colOff>68580</xdr:colOff>
      <xdr:row>14</xdr:row>
      <xdr:rowOff>15240</xdr:rowOff>
    </xdr:from>
    <xdr:to>
      <xdr:col>10</xdr:col>
      <xdr:colOff>160020</xdr:colOff>
      <xdr:row>24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4202D66-B374-4BCF-8938-00A76486CB9D}"/>
                </a:ext>
              </a:extLst>
            </xdr:cNvPr>
            <xdr:cNvSpPr txBox="1"/>
          </xdr:nvSpPr>
          <xdr:spPr>
            <a:xfrm>
              <a:off x="708660" y="2575560"/>
              <a:ext cx="5852160" cy="195072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%"/>
                </a:schemeClr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l"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acc>
                      <m:accPr>
                        <m:chr m:val="̂"/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𝛼</m:t>
                        </m:r>
                      </m:e>
                    </m:acc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𝛼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𝑣</m:t>
                        </m:r>
                      </m:e>
                      <m:sub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𝛼</m:t>
                        </m:r>
                      </m:sub>
                    </m:sSub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𝑋</m:t>
                    </m:r>
                  </m:oMath>
                </m:oMathPara>
              </a14:m>
              <a:endParaRPr lang="en-US" sz="1400">
                <a:effectLst/>
              </a:endParaRPr>
            </a:p>
            <a:p>
              <a:pPr algn="l"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acc>
                      <m:accPr>
                        <m:chr m:val="̂"/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𝛽</m:t>
                        </m:r>
                      </m:e>
                    </m:acc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𝛽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𝑣</m:t>
                        </m:r>
                      </m:e>
                      <m:sub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𝛽</m:t>
                        </m:r>
                      </m:sub>
                    </m:sSub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𝑌</m:t>
                    </m:r>
                  </m:oMath>
                </m:oMathPara>
              </a14:m>
              <a:endParaRPr lang="en-US" sz="1400">
                <a:effectLst/>
              </a:endParaRPr>
            </a:p>
            <a:p>
              <a:pPr algn="l"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acc>
                      <m:accPr>
                        <m:chr m:val="̂"/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𝛾</m:t>
                        </m:r>
                      </m:e>
                    </m:acc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𝛾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𝑣</m:t>
                        </m:r>
                      </m:e>
                      <m:sub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𝛾</m:t>
                        </m:r>
                      </m:sub>
                    </m:sSub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=180°−</m:t>
                    </m:r>
                    <m:d>
                      <m:d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𝑋</m:t>
                        </m:r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𝑌</m:t>
                        </m:r>
                      </m:e>
                    </m:d>
                  </m:oMath>
                </m:oMathPara>
              </a14:m>
              <a:endParaRPr lang="en-US" sz="1400">
                <a:effectLst/>
              </a:endParaRPr>
            </a:p>
            <a:p>
              <a:pPr algn="l"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acc>
                      <m:accPr>
                        <m:chr m:val="̂"/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</m:t>
                        </m:r>
                      </m:e>
                    </m:acc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𝑎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𝑣</m:t>
                        </m:r>
                      </m:e>
                      <m:sub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</m:t>
                        </m:r>
                      </m:sub>
                    </m:sSub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𝑍</m:t>
                    </m:r>
                  </m:oMath>
                </m:oMathPara>
              </a14:m>
              <a:endParaRPr lang="en-US" sz="1400">
                <a:effectLst/>
              </a:endParaRPr>
            </a:p>
            <a:p>
              <a:pPr algn="l"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acc>
                      <m:accPr>
                        <m:chr m:val="̂"/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</m:t>
                        </m:r>
                      </m:e>
                    </m:acc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𝑏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𝑣</m:t>
                        </m:r>
                      </m:e>
                      <m:sub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</m:t>
                        </m:r>
                      </m:sub>
                    </m:sSub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n-US" sz="14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sin</m:t>
                        </m:r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𝑋</m:t>
                        </m:r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∙</m:t>
                    </m:r>
                    <m:func>
                      <m:func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4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sin</m:t>
                        </m:r>
                      </m:fName>
                      <m:e>
                        <m:d>
                          <m:dPr>
                            <m:ctrlPr>
                              <a:rPr lang="en-U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U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</m:d>
                      </m:e>
                    </m:func>
                  </m:oMath>
                </m:oMathPara>
              </a14:m>
              <a:endParaRPr lang="en-US" sz="1400">
                <a:effectLst/>
              </a:endParaRPr>
            </a:p>
            <a:p>
              <a:pPr algn="l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acc>
                      <m:accPr>
                        <m:chr m:val="̂"/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</m:t>
                        </m:r>
                      </m:e>
                    </m:acc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𝑐</m:t>
                    </m:r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𝑣</m:t>
                        </m:r>
                      </m:e>
                      <m:sub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</m:t>
                        </m:r>
                      </m:sub>
                    </m:sSub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n-US" sz="14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sin</m:t>
                        </m:r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𝑋</m:t>
                        </m:r>
                        <m: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  <m:r>
                      <a:rPr lang="en-U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∙</m:t>
                    </m:r>
                    <m:func>
                      <m:funcPr>
                        <m:ctrlPr>
                          <a:rPr lang="en-U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4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sin</m:t>
                        </m:r>
                      </m:fName>
                      <m:e>
                        <m:d>
                          <m:dPr>
                            <m:ctrlPr>
                              <a:rPr lang="en-U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U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180°−</m:t>
                            </m:r>
                            <m:d>
                              <m:dPr>
                                <m:ctrlPr>
                                  <a:rPr lang="en-U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  <m:r>
                                  <a:rPr lang="en-U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+</m:t>
                                </m:r>
                                <m:r>
                                  <a:rPr lang="en-U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e>
                            </m:d>
                          </m:e>
                        </m:d>
                      </m:e>
                    </m:func>
                  </m:oMath>
                </m:oMathPara>
              </a14:m>
              <a:endParaRPr lang="en-US" sz="1400"/>
            </a:p>
          </xdr:txBody>
        </xdr:sp>
      </mc:Choice>
      <mc:Fallback xmlns="" xmlns:xdr="http://schemas.openxmlformats.org/drawingml/2006/spreadsheetDrawing" xmlns:a="http://schemas.openxmlformats.org/drawingml/2006/main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4202D66-B374-4BCF-8938-00A76486CB9D}"/>
                </a:ext>
              </a:extLst>
            </xdr:cNvPr>
            <xdr:cNvSpPr txBox="1"/>
          </xdr:nvSpPr>
          <xdr:spPr>
            <a:xfrm>
              <a:off x="708660" y="2575560"/>
              <a:ext cx="5852160" cy="195072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%"/>
                </a:schemeClr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l"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𝛼 ̂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=𝛼+𝑣_𝛼=𝑋</a:t>
              </a:r>
              <a:endParaRPr lang="en-US" sz="1400">
                <a:effectLst/>
              </a:endParaRPr>
            </a:p>
            <a:p>
              <a:pPr algn="l"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𝛽 ̂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=𝛽+𝑣_𝛽=𝑌</a:t>
              </a:r>
              <a:endParaRPr lang="en-US" sz="1400">
                <a:effectLst/>
              </a:endParaRPr>
            </a:p>
            <a:p>
              <a:pPr algn="l"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𝛾 ̂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=𝛾+𝑣_𝛾=180°−(𝑋+𝑌)</a:t>
              </a:r>
              <a:endParaRPr lang="en-US" sz="1400">
                <a:effectLst/>
              </a:endParaRPr>
            </a:p>
            <a:p>
              <a:pPr algn="l" rtl="0" eaLnBrk="1" latinLnBrk="0" hangingPunct="1"/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𝑎 ̂=𝑎+𝑣_𝑎=𝑍</a:t>
              </a:r>
              <a:endParaRPr lang="en-US" sz="1400">
                <a:effectLst/>
              </a:endParaRPr>
            </a:p>
            <a:p>
              <a:pPr algn="l" rtl="0" eaLnBrk="1" latinLnBrk="0" hangingPunct="1"/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𝑏 ̂=𝑏+𝑣_𝑏=𝑍/(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sin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(𝑋))∙sin⁡(𝑌)</a:t>
              </a:r>
              <a:endParaRPr lang="en-US" sz="1400">
                <a:effectLst/>
              </a:endParaRPr>
            </a:p>
            <a:p>
              <a:pPr algn="l"/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 ̂=𝑐+𝑣_𝑐=𝑍/(sin(𝑋))∙sin⁡(180°−(𝑋+𝑌))</a:t>
              </a:r>
              <a:endParaRPr lang="en-US" sz="1400"/>
            </a:p>
          </xdr:txBody>
        </xdr:sp>
      </mc:Fallback>
    </mc:AlternateContent>
    <xdr:clientData/>
  </xdr:twoCellAnchor>
  <xdr:twoCellAnchor>
    <xdr:from>
      <xdr:col>1</xdr:col>
      <xdr:colOff>64770</xdr:colOff>
      <xdr:row>25</xdr:row>
      <xdr:rowOff>49530</xdr:rowOff>
    </xdr:from>
    <xdr:to>
      <xdr:col>10</xdr:col>
      <xdr:colOff>167640</xdr:colOff>
      <xdr:row>35</xdr:row>
      <xdr:rowOff>167640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E853E094-0AD5-4C8E-988E-80938F2F6945}"/>
                </a:ext>
              </a:extLst>
            </xdr:cNvPr>
            <xdr:cNvSpPr txBox="1"/>
          </xdr:nvSpPr>
          <xdr:spPr>
            <a:xfrm>
              <a:off x="704850" y="4621530"/>
              <a:ext cx="5863590" cy="194691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%"/>
                </a:schemeClr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 eaLnBrk="1" latinLnBrk="0" hangingPunct="1"/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𝑣</m:t>
                      </m:r>
                    </m:e>
                    <m:sub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𝛼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𝑑𝑋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𝛼</m:t>
                      </m:r>
                    </m:sub>
                  </m:sSub>
                </m:oMath>
              </a14:m>
              <a:r>
                <a:rPr lang="sr-Latn-R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𝛼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𝑋</m:t>
                      </m:r>
                    </m:e>
                    <m:sub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</m:t>
                  </m:r>
                  <m:r>
                    <a:rPr lang="en-US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𝛼</m:t>
                  </m:r>
                </m:oMath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𝑣</m:t>
                      </m:r>
                    </m:e>
                    <m:sub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𝛽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𝑑𝑌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𝛽</m:t>
                      </m:r>
                    </m:sub>
                  </m:sSub>
                </m:oMath>
              </a14:m>
              <a:r>
                <a:rPr lang="sr-Latn-R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𝛽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𝑌</m:t>
                      </m:r>
                    </m:e>
                    <m:sub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𝛽</m:t>
                  </m:r>
                </m:oMath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𝑣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𝛾</m:t>
                      </m:r>
                    </m:sub>
                  </m:sSub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=−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𝑑𝑋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𝑑𝑌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𝛾</m:t>
                      </m:r>
                    </m:sub>
                  </m:sSub>
                </m:oMath>
              </a14:m>
              <a:r>
                <a:rPr lang="sr-Latn-BA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𝛾</m:t>
                      </m:r>
                    </m:sub>
                  </m:sSub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180°−</m:t>
                      </m:r>
                      <m:d>
                        <m:dPr>
                          <m:ctrlPr>
                            <a:rPr lang="en-US" sz="14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sSub>
                            <m:sSubPr>
                              <m:ctrlP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sr-Latn-RS" sz="14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𝑋</m:t>
                              </m:r>
                            </m:e>
                            <m:sub>
                              <m: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sub>
                          </m:sSub>
                          <m:r>
                            <a:rPr lang="sr-Latn-BA" sz="14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+</m:t>
                          </m:r>
                          <m:sSub>
                            <m:sSubPr>
                              <m:ctrlP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en-US" sz="14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𝑌</m:t>
                              </m:r>
                            </m:e>
                            <m:sub>
                              <m: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sub>
                          </m:sSub>
                        </m:e>
                      </m:d>
                    </m:e>
                  </m:d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𝛾</m:t>
                  </m:r>
                </m:oMath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𝑣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sub>
                  </m:sSub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𝑑𝑍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sub>
                  </m:sSub>
                </m:oMath>
              </a14:m>
              <a:r>
                <a:rPr lang="sr-Latn-R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𝑍</m:t>
                      </m:r>
                    </m:e>
                    <m:sub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</m:t>
                  </m:r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𝑎</m:t>
                  </m:r>
                </m:oMath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𝑣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</m:t>
                      </m:r>
                    </m:sub>
                  </m:sSub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</m:t>
                  </m:r>
                  <m:r>
                    <a:rPr lang="en-US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𝑋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𝑑𝑌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𝑑𝑍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</m:t>
                      </m:r>
                    </m:sub>
                  </m:sSub>
                </m:oMath>
              </a14:m>
              <a:r>
                <a:rPr lang="sr-Latn-BA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</m:t>
                      </m:r>
                    </m:sub>
                  </m:sSub>
                  <m:r>
                    <a:rPr lang="en-US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f>
                        <m:fPr>
                          <m:ctrlP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sSub>
                            <m:sSubPr>
                              <m:ctrlP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en-US" sz="14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𝑍</m:t>
                              </m:r>
                            </m:e>
                            <m:sub>
                              <m: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sub>
                          </m:sSub>
                        </m:num>
                        <m:den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sin</m:t>
                          </m:r>
                          <m: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(</m:t>
                          </m:r>
                          <m:sSub>
                            <m:sSubPr>
                              <m:ctrlP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sr-Latn-R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𝑋</m:t>
                              </m:r>
                            </m:e>
                            <m:sub>
                              <m: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sub>
                          </m:sSub>
                          <m: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)</m:t>
                          </m:r>
                        </m:den>
                      </m:f>
                      <m:r>
                        <a:rPr lang="en-U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∙</m:t>
                      </m:r>
                      <m:func>
                        <m:funcPr>
                          <m:ctrlP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uncPr>
                        <m:fName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sin</m:t>
                          </m:r>
                        </m:fName>
                        <m:e>
                          <m:d>
                            <m:dPr>
                              <m:ctrlPr>
                                <a:rPr lang="en-US" sz="14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dPr>
                            <m:e>
                              <m:sSub>
                                <m:sSubPr>
                                  <m:ctrlPr>
                                    <a:rPr lang="en-US" sz="1400" i="1">
                                      <a:solidFill>
                                        <a:schemeClr val="dk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lang="en-US" sz="1400" b="0" i="1">
                                      <a:solidFill>
                                        <a:schemeClr val="dk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𝑌</m:t>
                                  </m:r>
                                </m:e>
                                <m:sub>
                                  <m:r>
                                    <a:rPr lang="en-US" sz="1400" i="1">
                                      <a:solidFill>
                                        <a:schemeClr val="dk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sub>
                              </m:sSub>
                            </m:e>
                          </m:d>
                        </m:e>
                      </m:func>
                    </m:e>
                  </m:d>
                  <m:r>
                    <a:rPr lang="en-US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</m:t>
                  </m:r>
                  <m:r>
                    <a:rPr lang="en-US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𝑏</m:t>
                  </m:r>
                </m:oMath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𝑣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</m:t>
                      </m:r>
                    </m:sub>
                  </m:sSub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</m:t>
                  </m:r>
                  <m:r>
                    <a:rPr lang="en-US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𝑋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𝑑𝑌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</m:t>
                      </m:r>
                    </m:e>
                    <m:sub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b>
                  </m:sSub>
                  <m:r>
                    <a:rPr lang="sr-Latn-RS" sz="14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𝑑𝑍</m:t>
                  </m:r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</m:t>
                      </m:r>
                    </m:sub>
                  </m:sSub>
                </m:oMath>
              </a14:m>
              <a:r>
                <a:rPr lang="sr-Latn-BA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14:m>
                <m:oMath xmlns:m="http://purl.oclc.org/ooxml/officeDocument/math">
                  <m:sSub>
                    <m:sSubPr>
                      <m:ctrlP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sr-Latn-R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</m:t>
                      </m:r>
                    </m:sub>
                  </m:sSub>
                  <m:r>
                    <a:rPr lang="sr-Latn-BA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lang="sr-Latn-BA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f>
                        <m:fPr>
                          <m:ctrlPr>
                            <a:rPr lang="en-US" sz="14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sSub>
                            <m:sSubPr>
                              <m:ctrlP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𝑍</m:t>
                              </m:r>
                            </m:e>
                            <m:sub>
                              <m: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sub>
                          </m:sSub>
                        </m:num>
                        <m:den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sin</m:t>
                          </m:r>
                          <m: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(</m:t>
                          </m:r>
                          <m:sSub>
                            <m:sSubPr>
                              <m:ctrlP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sr-Latn-R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𝑋</m:t>
                              </m:r>
                            </m:e>
                            <m:sub>
                              <m: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sub>
                          </m:sSub>
                          <m: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)</m:t>
                          </m:r>
                        </m:den>
                      </m:f>
                      <m:r>
                        <a:rPr lang="en-US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∙</m:t>
                      </m:r>
                      <m:func>
                        <m:funcPr>
                          <m:ctrlPr>
                            <a:rPr lang="en-US" sz="14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uncPr>
                        <m:fName>
                          <m:r>
                            <m:rPr>
                              <m:sty m:val="p"/>
                            </m:rPr>
                            <a:rPr lang="en-US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sin</m:t>
                          </m:r>
                        </m:fName>
                        <m:e>
                          <m:d>
                            <m:dPr>
                              <m:ctrlP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dPr>
                            <m:e>
                              <m:r>
                                <a:rPr lang="en-US" sz="140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180°−</m:t>
                              </m:r>
                              <m:d>
                                <m:dPr>
                                  <m:ctrlPr>
                                    <a:rPr lang="en-US" sz="1400" i="1">
                                      <a:solidFill>
                                        <a:schemeClr val="dk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dPr>
                                <m:e>
                                  <m:sSub>
                                    <m:sSubPr>
                                      <m:ctrlPr>
                                        <a:rPr lang="en-US" sz="1400" i="1">
                                          <a:solidFill>
                                            <a:schemeClr val="dk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sr-Latn-RS" sz="1400" i="1">
                                          <a:solidFill>
                                            <a:schemeClr val="dk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𝑋</m:t>
                                      </m:r>
                                    </m:e>
                                    <m:sub>
                                      <m:r>
                                        <a:rPr lang="en-US" sz="1400" i="1">
                                          <a:solidFill>
                                            <a:schemeClr val="dk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0</m:t>
                                      </m:r>
                                    </m:sub>
                                  </m:sSub>
                                  <m:r>
                                    <a:rPr lang="en-US" sz="1400" i="1">
                                      <a:solidFill>
                                        <a:schemeClr val="dk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+</m:t>
                                  </m:r>
                                  <m:sSub>
                                    <m:sSubPr>
                                      <m:ctrlPr>
                                        <a:rPr lang="en-US" sz="1400" i="1">
                                          <a:solidFill>
                                            <a:schemeClr val="dk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en-US" sz="1400" i="1">
                                          <a:solidFill>
                                            <a:schemeClr val="dk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𝑌</m:t>
                                      </m:r>
                                    </m:e>
                                    <m:sub>
                                      <m:r>
                                        <a:rPr lang="en-US" sz="1400" i="1">
                                          <a:solidFill>
                                            <a:schemeClr val="dk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0</m:t>
                                      </m:r>
                                    </m:sub>
                                  </m:sSub>
                                </m:e>
                              </m:d>
                            </m:e>
                          </m:d>
                        </m:e>
                      </m:func>
                    </m:e>
                  </m:d>
                  <m:r>
                    <a:rPr lang="en-US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</m:t>
                  </m:r>
                  <m:r>
                    <a:rPr lang="en-US" sz="14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𝑐</m:t>
                  </m:r>
                </m:oMath>
              </a14:m>
              <a:endParaRPr lang="en-US" sz="1400">
                <a:effectLst/>
              </a:endParaRPr>
            </a:p>
            <a:p>
              <a:endParaRPr lang="en-US" sz="1100"/>
            </a:p>
          </xdr:txBody>
        </xdr:sp>
      </mc:Choice>
      <mc:Fallback xmlns="" xmlns:xdr="http://schemas.openxmlformats.org/drawingml/2006/spreadsheetDrawing" xmlns:a="http://schemas.openxmlformats.org/drawingml/2006/main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E853E094-0AD5-4C8E-988E-80938F2F6945}"/>
                </a:ext>
              </a:extLst>
            </xdr:cNvPr>
            <xdr:cNvSpPr txBox="1"/>
          </xdr:nvSpPr>
          <xdr:spPr>
            <a:xfrm>
              <a:off x="704850" y="4621530"/>
              <a:ext cx="5863590" cy="194691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%"/>
                </a:schemeClr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𝑣_𝛼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=𝑑𝑋+𝑓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r>
                <a:rPr lang="sr-Latn-R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𝑣_𝛽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=𝑑𝑌+𝑓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𝛽</a:t>
              </a:r>
              <a:r>
                <a:rPr lang="sr-Latn-R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𝛽=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−𝛽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𝑣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𝛾=−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𝑑𝑋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𝑑𝑌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+𝑓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𝛾</a:t>
              </a:r>
              <a:r>
                <a:rPr lang="sr-Latn-BA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𝛾=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180°−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0 ))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−𝛾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𝑣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𝑎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𝑑𝑍+𝑓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𝑎</a:t>
              </a:r>
              <a:r>
                <a:rPr lang="sr-Latn-R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𝑎=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−𝑎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𝑣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𝑏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=𝑎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1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𝑑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+𝑏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1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𝑑𝑌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+𝑐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1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𝑑𝑍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+𝑓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𝑏</a:t>
              </a:r>
              <a:r>
                <a:rPr lang="sr-Latn-BA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𝑏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=(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/(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sin(</a:t>
              </a:r>
              <a:r>
                <a:rPr lang="sr-Latn-R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_0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)∙sin⁡(𝑌_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0 ) )−𝑏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𝑣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=𝑎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𝑑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+𝑏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𝑑𝑌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+𝑐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𝑑𝑍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+𝑓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</a:t>
              </a:r>
              <a:r>
                <a:rPr lang="sr-Latn-BA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  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</a:t>
              </a:r>
              <a:r>
                <a:rPr lang="sr-Latn-BA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=(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𝑍_0/(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sin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sr-Latn-R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_0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))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∙sin⁡(180°−(</a:t>
              </a:r>
              <a:r>
                <a:rPr lang="sr-Latn-R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_0+𝑌_0 )) )−𝑐</a:t>
              </a:r>
              <a:endParaRPr lang="en-US" sz="1400">
                <a:effectLst/>
              </a:endParaRP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10</xdr:col>
      <xdr:colOff>255270</xdr:colOff>
      <xdr:row>14</xdr:row>
      <xdr:rowOff>11430</xdr:rowOff>
    </xdr:from>
    <xdr:to>
      <xdr:col>21</xdr:col>
      <xdr:colOff>411480</xdr:colOff>
      <xdr:row>31</xdr:row>
      <xdr:rowOff>57150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6E40487-59C3-4541-9E4B-416ABBACAF70}"/>
                </a:ext>
              </a:extLst>
            </xdr:cNvPr>
            <xdr:cNvSpPr txBox="1"/>
          </xdr:nvSpPr>
          <xdr:spPr>
            <a:xfrm>
              <a:off x="6656070" y="2571750"/>
              <a:ext cx="7197090" cy="315468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%"/>
                </a:schemeClr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</m:t>
                        </m:r>
                      </m:e>
                      <m: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d>
                          <m:d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𝑏</m:t>
                                </m:r>
                              </m:num>
                              <m:den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</m:den>
                            </m:f>
                          </m:e>
                        </m:d>
                      </m:e>
                      <m:sub>
                        <m:r>
                          <a:rPr lang="sr-Latn-R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</m:s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∙</m:t>
                        </m:r>
                        <m:func>
                          <m:func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fName>
                          <m:e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e>
                              <m:sub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∙</m:t>
                            </m:r>
                            <m:func>
                              <m:func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uncPr>
                              <m:fName>
                                <m:r>
                                  <m:rPr>
                                    <m:sty m:val="p"/>
                                  </m:rPr>
                                  <a:rPr lang="en-US" sz="14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cos</m:t>
                                </m:r>
                              </m:fName>
                              <m:e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sr-Latn-RS" sz="14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𝑋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0</m:t>
                                    </m:r>
                                  </m:sub>
                                </m:sSub>
                              </m:e>
                            </m:func>
                          </m:e>
                        </m:func>
                      </m:num>
                      <m:den>
                        <m:sSup>
                          <m:sSup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n-US" sz="1400" b="0" i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e>
                          <m:sup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sSub>
                          <m:sSub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</m:sSub>
                      </m:den>
                    </m:f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∙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𝜌</m:t>
                        </m:r>
                      </m:den>
                    </m:f>
                  </m:oMath>
                </m:oMathPara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</m:t>
                        </m:r>
                      </m:e>
                      <m: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d>
                          <m:d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𝑏</m:t>
                                </m:r>
                              </m:num>
                              <m:den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den>
                            </m:f>
                          </m:e>
                        </m:d>
                      </m:e>
                      <m:sub>
                        <m:r>
                          <a:rPr lang="sr-Latn-R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</m:s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∙</m:t>
                        </m:r>
                        <m:func>
                          <m:func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cos</m:t>
                            </m:r>
                          </m:fName>
                          <m:e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e>
                              <m:sub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</m:func>
                      </m:num>
                      <m:den>
                        <m:func>
                          <m:funcPr>
                            <m:ctrlP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 i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fName>
                          <m:e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</m:e>
                              <m:sub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</m:func>
                      </m:den>
                    </m:f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∙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𝜌</m:t>
                        </m:r>
                      </m:den>
                    </m:f>
                    <m:r>
                      <a:rPr lang="sr-Latn-RS" sz="14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</m:oMath>
                </m:oMathPara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</m:t>
                        </m:r>
                      </m:e>
                      <m: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d>
                          <m:d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𝑏</m:t>
                                </m:r>
                              </m:num>
                              <m:den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𝑍</m:t>
                                </m:r>
                              </m:den>
                            </m:f>
                          </m:e>
                        </m:d>
                      </m:e>
                      <m:sub>
                        <m:r>
                          <a:rPr lang="sr-Latn-R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func>
                          <m:func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fName>
                          <m:e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e>
                              <m:sub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</m:func>
                      </m:num>
                      <m:den>
                        <m:func>
                          <m:funcPr>
                            <m:ctrlP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a:rPr lang="sr-Latn-RS" sz="1400" b="0" i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m:rPr>
                                <m:sty m:val="p"/>
                              </m:rPr>
                              <a:rPr lang="en-US" sz="1400" i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fName>
                          <m:e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</m:e>
                              <m:sub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</m:func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</m:t>
                        </m:r>
                      </m:e>
                      <m: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d>
                          <m:d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𝑐</m:t>
                                </m:r>
                              </m:num>
                              <m:den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</m:den>
                            </m:f>
                          </m:e>
                        </m:d>
                      </m:e>
                      <m:sub>
                        <m:r>
                          <a:rPr lang="sr-Latn-R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</m:s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∙</m:t>
                        </m:r>
                        <m:func>
                          <m:func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cos</m:t>
                            </m:r>
                          </m:fName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180°−</m:t>
                                </m:r>
                                <m:d>
                                  <m:dPr>
                                    <m:ctrlP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US" sz="140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sr-Latn-RS" sz="1400" b="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𝑋</m:t>
                                        </m:r>
                                      </m:e>
                                      <m:sub>
                                        <m:r>
                                          <a:rPr lang="en-US" sz="140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0</m:t>
                                        </m:r>
                                      </m:sub>
                                    </m:sSub>
                                    <m: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+</m:t>
                                    </m:r>
                                    <m:sSub>
                                      <m:sSubPr>
                                        <m:ctrlPr>
                                          <a:rPr lang="en-US" sz="140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sr-Latn-RS" sz="1400" b="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𝑌</m:t>
                                        </m:r>
                                      </m:e>
                                      <m:sub>
                                        <m:r>
                                          <a:rPr lang="sr-Latn-RS" sz="1400" b="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0</m:t>
                                        </m:r>
                                      </m:sub>
                                    </m:sSub>
                                  </m:e>
                                </m:d>
                              </m:e>
                            </m:d>
                          </m:e>
                        </m:func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∙</m:t>
                        </m:r>
                        <m:func>
                          <m:func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fName>
                          <m:e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</m:e>
                              <m:sub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𝑍</m:t>
                                </m:r>
                              </m:e>
                              <m:sub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∙</m:t>
                            </m:r>
                            <m:func>
                              <m:func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uncPr>
                              <m:fName>
                                <m:r>
                                  <m:rPr>
                                    <m:sty m:val="p"/>
                                  </m:rPr>
                                  <a:rPr lang="en-US" sz="14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sin</m:t>
                                </m:r>
                              </m:fName>
                              <m:e>
                                <m:d>
                                  <m:dPr>
                                    <m:begChr m:val="["/>
                                    <m:endChr m:val="]"/>
                                    <m:ctrlP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180°−</m:t>
                                    </m:r>
                                    <m:d>
                                      <m:dPr>
                                        <m:ctrlPr>
                                          <a:rPr lang="en-US" sz="140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dPr>
                                      <m:e>
                                        <m:sSub>
                                          <m:sSubPr>
                                            <m:ctrlPr>
                                              <a:rPr lang="en-US" sz="140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sr-Latn-RS" sz="14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𝑋</m:t>
                                            </m:r>
                                          </m:e>
                                          <m:sub>
                                            <m:r>
                                              <a:rPr lang="en-US" sz="140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sub>
                                        </m:sSub>
                                        <m:r>
                                          <a:rPr lang="en-US" sz="1400" i="1">
                                            <a:solidFill>
                                              <a:schemeClr val="dk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+</m:t>
                                        </m:r>
                                        <m:sSub>
                                          <m:sSubPr>
                                            <m:ctrlPr>
                                              <a:rPr lang="en-US" sz="140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sr-Latn-RS" sz="14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𝑌</m:t>
                                            </m:r>
                                          </m:e>
                                          <m:sub>
                                            <m:r>
                                              <a:rPr lang="sr-Latn-RS" sz="1400" b="0" i="1">
                                                <a:solidFill>
                                                  <a:schemeClr val="dk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sub>
                                        </m:sSub>
                                      </m:e>
                                    </m:d>
                                  </m:e>
                                </m:d>
                              </m:e>
                            </m:func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∙</m:t>
                            </m:r>
                            <m:func>
                              <m:funcPr>
                                <m:ctrlP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uncPr>
                              <m:fName>
                                <m:r>
                                  <m:rPr>
                                    <m:sty m:val="p"/>
                                  </m:rPr>
                                  <a:rPr lang="en-US" sz="1400" i="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cos</m:t>
                                </m:r>
                              </m:fName>
                              <m:e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sr-Latn-RS" sz="14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𝑋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0</m:t>
                                    </m:r>
                                  </m:sub>
                                </m:sSub>
                              </m:e>
                            </m:func>
                          </m:e>
                        </m:func>
                      </m:num>
                      <m:den>
                        <m:sSup>
                          <m:sSup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n-US" sz="1400" i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e>
                          <m:sup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sSub>
                          <m:sSub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</m:sSub>
                      </m:den>
                    </m:f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∙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𝜌</m:t>
                        </m:r>
                      </m:den>
                    </m:f>
                  </m:oMath>
                </m:oMathPara>
              </a14:m>
              <a:endParaRPr lang="en-US" sz="1400">
                <a:effectLst/>
              </a:endParaRPr>
            </a:p>
            <a:p>
              <a:pPr rtl="0" eaLnBrk="1" latinLnBrk="0" hangingPunct="1"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</m:t>
                        </m:r>
                      </m:e>
                      <m: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d>
                          <m:d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𝑐</m:t>
                                </m:r>
                              </m:num>
                              <m:den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den>
                            </m:f>
                          </m:e>
                        </m:d>
                      </m:e>
                      <m:sub>
                        <m:r>
                          <a:rPr lang="sr-Latn-R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</m:sSub>
                      </m:num>
                      <m:den>
                        <m:func>
                          <m:funcPr>
                            <m:ctrlP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a:rPr lang="sr-Latn-RS" sz="1400" b="0" i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m:rPr>
                                <m:sty m:val="p"/>
                              </m:rPr>
                              <a:rPr lang="en-US" sz="1400" i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fName>
                          <m:e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</m:e>
                              <m:sub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</m:func>
                      </m:den>
                    </m:f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∙</m:t>
                    </m:r>
                    <m:d>
                      <m:d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unc>
                          <m:func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cos</m:t>
                            </m:r>
                          </m:fName>
                          <m:e>
                            <m:r>
                              <a:rPr lang="en-U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[</m:t>
                            </m:r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180°−</m:t>
                            </m:r>
                            <m:d>
                              <m:d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sr-Latn-RS" sz="14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𝑋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0</m:t>
                                    </m:r>
                                  </m:sub>
                                </m:sSub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+</m:t>
                                </m:r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sr-Latn-RS" sz="14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𝑌</m:t>
                                    </m:r>
                                  </m:e>
                                  <m:sub>
                                    <m:r>
                                      <a:rPr lang="sr-Latn-RS" sz="14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0</m:t>
                                    </m:r>
                                  </m:sub>
                                </m:sSub>
                              </m:e>
                            </m:d>
                            <m:r>
                              <a:rPr lang="en-U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]</m:t>
                            </m:r>
                          </m:e>
                        </m:func>
                      </m:e>
                    </m:d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∙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𝜌</m:t>
                        </m:r>
                      </m:den>
                    </m:f>
                  </m:oMath>
                </m:oMathPara>
              </a14:m>
              <a:endParaRPr lang="en-US" sz="1400">
                <a:effectLst/>
              </a:endParaRPr>
            </a:p>
            <a:p>
              <a:pPr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</m:t>
                        </m:r>
                      </m:e>
                      <m:sub>
                        <m: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d>
                          <m:d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𝑐</m:t>
                                </m:r>
                              </m:num>
                              <m:den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𝜕</m:t>
                                </m:r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𝑍</m:t>
                                </m:r>
                              </m:den>
                            </m:f>
                          </m:e>
                        </m:d>
                      </m:e>
                      <m:sub>
                        <m:r>
                          <a:rPr lang="sr-Latn-RS" sz="14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  <m:r>
                      <a:rPr lang="en-US" sz="14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4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func>
                          <m:func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fName>
                          <m:e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</m:e>
                              <m:sub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  <m: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e>
                              <m:sub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func>
                      </m:num>
                      <m:den>
                        <m:func>
                          <m:funcPr>
                            <m:ctrlPr>
                              <a:rPr lang="en-US" sz="14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4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sin</m:t>
                            </m:r>
                          </m:fName>
                          <m:e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4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𝑋</m:t>
                                </m:r>
                              </m:e>
                              <m:sub>
                                <m:r>
                                  <a:rPr lang="en-US" sz="14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  <m:r>
                              <a:rPr lang="sr-Latn-RS" sz="14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func>
                      </m:den>
                    </m:f>
                  </m:oMath>
                </m:oMathPara>
              </a14:m>
              <a:endParaRPr lang="en-US" sz="1400"/>
            </a:p>
          </xdr:txBody>
        </xdr:sp>
      </mc:Choice>
      <mc:Fallback xmlns="" xmlns:xdr="http://schemas.openxmlformats.org/drawingml/2006/spreadsheetDrawing" xmlns:a="http://schemas.openxmlformats.org/drawingml/2006/main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6E40487-59C3-4541-9E4B-416ABBACAF70}"/>
                </a:ext>
              </a:extLst>
            </xdr:cNvPr>
            <xdr:cNvSpPr txBox="1"/>
          </xdr:nvSpPr>
          <xdr:spPr>
            <a:xfrm>
              <a:off x="6656070" y="2571750"/>
              <a:ext cx="7197090" cy="315468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%"/>
                </a:schemeClr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𝑎_1=(𝜕𝑏/𝜕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=(−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∙sin⁡〖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∙cos⁡〖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〗 〗)/(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sin^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0 )∙1/𝜌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𝑏_1=(𝜕𝑏/𝜕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=(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∙cos⁡〖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〗)/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sin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⁡〖𝑋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∙1/𝜌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𝑐_1=(𝜕𝑏/𝜕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=sin⁡〖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〗/(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〖 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sin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〗⁡〖𝑋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)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𝑎_2=(𝜕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=(−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∙cos⁡[180°−(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0+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0 )]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∙sin⁡〖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0−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∙sin⁡[180°−(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0+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0 )]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∙cos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⁡〖𝑋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〗)/(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sin^2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0 )∙1/𝜌</a:t>
              </a:r>
              <a:endParaRPr lang="en-US" sz="1400">
                <a:effectLst/>
              </a:endParaRPr>
            </a:p>
            <a:p>
              <a:pPr rtl="0" eaLnBrk="1" latinLnBrk="0" hangingPunct="1"/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𝑏_2=(𝜕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〖 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sin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〗⁡〖𝑋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∙(−cos⁡〖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[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180°−(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0+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0 )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]〗 )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∙1/𝜌</a:t>
              </a:r>
              <a:endParaRPr lang="en-US" sz="1400">
                <a:effectLst/>
              </a:endParaRPr>
            </a:p>
            <a:p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𝑐_2=(𝜕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𝑍)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=sin⁡〖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0+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〗/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sin⁡〖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(𝑋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US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</a:t>
              </a:r>
              <a:r>
                <a:rPr lang="sr-Latn-RS" sz="14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endParaRPr lang="en-US" sz="1400"/>
            </a:p>
          </xdr:txBody>
        </xdr:sp>
      </mc:Fallback>
    </mc:AlternateContent>
    <xdr:clientData/>
  </xdr:twoCellAnchor>
  <xdr:twoCellAnchor>
    <xdr:from>
      <xdr:col>14</xdr:col>
      <xdr:colOff>510540</xdr:colOff>
      <xdr:row>56</xdr:row>
      <xdr:rowOff>171450</xdr:rowOff>
    </xdr:from>
    <xdr:to>
      <xdr:col>17</xdr:col>
      <xdr:colOff>563880</xdr:colOff>
      <xdr:row>59</xdr:row>
      <xdr:rowOff>157508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4">
              <a:extLst>
                <a:ext uri="{FF2B5EF4-FFF2-40B4-BE49-F238E27FC236}">
                  <a16:creationId xmlns:a16="http://schemas.microsoft.com/office/drawing/2014/main" id="{D69DE245-95B8-4E6C-9A48-AF36259091A7}"/>
                </a:ext>
              </a:extLst>
            </xdr:cNvPr>
            <xdr:cNvSpPr txBox="1"/>
          </xdr:nvSpPr>
          <xdr:spPr>
            <a:xfrm>
              <a:off x="10176510" y="10412730"/>
              <a:ext cx="1973580" cy="534698"/>
            </a:xfrm>
            <a:prstGeom prst="rect">
              <a:avLst/>
            </a:prstGeom>
            <a:noFill/>
            <a:ln>
              <a:solidFill>
                <a:schemeClr val="tx1"/>
              </a:solidFill>
            </a:ln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400"/>
                <a:t>Kontrola ra</a:t>
              </a:r>
              <a:r>
                <a:rPr lang="sr-Latn-RS" sz="1400"/>
                <a:t>čunanja:</a:t>
              </a:r>
              <a:endParaRPr lang="en-US" sz="1400"/>
            </a:p>
            <a:p>
              <a:pPr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sSup>
                      <m:sSupPr>
                        <m:ctrlPr>
                          <a:rPr lang="sr-Latn-RS" sz="14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acc>
                          <m:accPr>
                            <m:chr m:val="̂"/>
                            <m:ctrlPr>
                              <a:rPr lang="en-US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400" b="1">
                                <a:latin typeface="Cambria Math" panose="02040503050406030204" pitchFamily="18" charset="0"/>
                              </a:rPr>
                              <m:t>𝐯</m:t>
                            </m:r>
                          </m:e>
                        </m:acc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p>
                    <m:r>
                      <a:rPr lang="sr-Latn-RS" sz="1400" b="1">
                        <a:latin typeface="Cambria Math" panose="02040503050406030204" pitchFamily="18" charset="0"/>
                      </a:rPr>
                      <m:t>𝐏</m:t>
                    </m:r>
                    <m:acc>
                      <m:accPr>
                        <m:chr m:val="̂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400" b="1">
                            <a:latin typeface="Cambria Math" panose="02040503050406030204" pitchFamily="18" charset="0"/>
                          </a:rPr>
                          <m:t>𝐯</m:t>
                        </m:r>
                      </m:e>
                    </m:acc>
                    <m:r>
                      <a:rPr lang="en-US" sz="1400" b="1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≡</m:t>
                    </m:r>
                    <m:sSup>
                      <m:sSupPr>
                        <m:ctrlPr>
                          <a:rPr lang="sr-Latn-RS" sz="14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1" i="0">
                            <a:latin typeface="Cambria Math" panose="02040503050406030204" pitchFamily="18" charset="0"/>
                          </a:rPr>
                          <m:t>𝐟</m:t>
                        </m:r>
                      </m:e>
                      <m:sup>
                        <m:r>
                          <a:rPr lang="en-US" sz="140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p>
                    <m:r>
                      <a:rPr lang="sr-Latn-RS" sz="1400" b="1">
                        <a:latin typeface="Cambria Math" panose="02040503050406030204" pitchFamily="18" charset="0"/>
                      </a:rPr>
                      <m:t>𝐏</m:t>
                    </m:r>
                    <m:r>
                      <a:rPr lang="en-US" sz="1400" b="1">
                        <a:latin typeface="Cambria Math" panose="02040503050406030204" pitchFamily="18" charset="0"/>
                      </a:rPr>
                      <m:t>𝐟</m:t>
                    </m:r>
                    <m:r>
                      <a:rPr lang="en-US" sz="1400" b="1" i="0">
                        <a:latin typeface="Cambria Math" panose="02040503050406030204" pitchFamily="18" charset="0"/>
                      </a:rPr>
                      <m:t>+</m:t>
                    </m:r>
                    <m:sSup>
                      <m:sSupPr>
                        <m:ctrlPr>
                          <a:rPr lang="en-US" sz="14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1" i="0">
                            <a:latin typeface="Cambria Math" panose="02040503050406030204" pitchFamily="18" charset="0"/>
                          </a:rPr>
                          <m:t>𝐧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p>
                    <m:acc>
                      <m:accPr>
                        <m:chr m:val="̂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sr-Latn-RS" sz="1400" b="1">
                            <a:latin typeface="Cambria Math" panose="02040503050406030204" pitchFamily="18" charset="0"/>
                          </a:rPr>
                          <m:t>𝐱</m:t>
                        </m:r>
                      </m:e>
                    </m:acc>
                  </m:oMath>
                </m:oMathPara>
              </a14:m>
              <a:endParaRPr lang="sr-Latn-RS" sz="1400"/>
            </a:p>
          </xdr:txBody>
        </xdr:sp>
      </mc:Choice>
      <mc:Fallback xmlns:a="http://schemas.openxmlformats.org/drawingml/2006/main" xmlns:xdr="http://schemas.openxmlformats.org/drawingml/2006/spreadsheetDrawing" xmlns="">
        <xdr:sp macro="" textlink="">
          <xdr:nvSpPr>
            <xdr:cNvPr id="6" name="TextBox 4">
              <a:extLst>
                <a:ext uri="{FF2B5EF4-FFF2-40B4-BE49-F238E27FC236}">
                  <a16:creationId xmlns:a16="http://schemas.microsoft.com/office/drawing/2014/main" id="{D69DE245-95B8-4E6C-9A48-AF36259091A7}"/>
                </a:ext>
              </a:extLst>
            </xdr:cNvPr>
            <xdr:cNvSpPr txBox="1"/>
          </xdr:nvSpPr>
          <xdr:spPr>
            <a:xfrm>
              <a:off x="10176510" y="10412730"/>
              <a:ext cx="1973580" cy="534698"/>
            </a:xfrm>
            <a:prstGeom prst="rect">
              <a:avLst/>
            </a:prstGeom>
            <a:noFill/>
            <a:ln>
              <a:solidFill>
                <a:schemeClr val="tx1"/>
              </a:solidFill>
            </a:ln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400"/>
                <a:t>Kontrola ra</a:t>
              </a:r>
              <a:r>
                <a:rPr lang="sr-Latn-RS" sz="1400"/>
                <a:t>čunanja:</a:t>
              </a:r>
              <a:endParaRPr lang="en-US" sz="1400"/>
            </a:p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𝐯 ̂</a:t>
              </a:r>
              <a:r>
                <a:rPr lang="sr-Latn-RS" sz="1400" b="1" i="0">
                  <a:latin typeface="Cambria Math" panose="02040503050406030204" pitchFamily="18" charset="0"/>
                </a:rPr>
                <a:t>^</a:t>
              </a:r>
              <a:r>
                <a:rPr lang="en-US" sz="1400" b="0" i="0">
                  <a:latin typeface="Cambria Math" panose="02040503050406030204" pitchFamily="18" charset="0"/>
                </a:rPr>
                <a:t>𝑇</a:t>
              </a:r>
              <a:r>
                <a:rPr lang="sr-Latn-RS" sz="1400" b="1" i="0">
                  <a:latin typeface="Cambria Math" panose="02040503050406030204" pitchFamily="18" charset="0"/>
                </a:rPr>
                <a:t> 𝐏</a:t>
              </a:r>
              <a:r>
                <a:rPr lang="en-US" sz="1400" b="1" i="0">
                  <a:latin typeface="Cambria Math" panose="02040503050406030204" pitchFamily="18" charset="0"/>
                </a:rPr>
                <a:t>𝐯 ̂</a:t>
              </a:r>
              <a:r>
                <a:rPr lang="en-US" sz="1400" b="1" i="0">
                  <a:latin typeface="Cambria Math" panose="02040503050406030204" pitchFamily="18" charset="0"/>
                  <a:ea typeface="Cambria Math" panose="02040503050406030204" pitchFamily="18" charset="0"/>
                </a:rPr>
                <a:t>≡</a:t>
              </a:r>
              <a:r>
                <a:rPr lang="en-US" sz="1400" b="1" i="0">
                  <a:latin typeface="Cambria Math" panose="02040503050406030204" pitchFamily="18" charset="0"/>
                </a:rPr>
                <a:t>𝐟</a:t>
              </a:r>
              <a:r>
                <a:rPr lang="sr-Latn-RS" sz="1400" b="1" i="0">
                  <a:latin typeface="Cambria Math" panose="02040503050406030204" pitchFamily="18" charset="0"/>
                </a:rPr>
                <a:t>^</a:t>
              </a:r>
              <a:r>
                <a:rPr lang="en-US" sz="1400" i="0">
                  <a:latin typeface="Cambria Math" panose="02040503050406030204" pitchFamily="18" charset="0"/>
                </a:rPr>
                <a:t>𝑇</a:t>
              </a:r>
              <a:r>
                <a:rPr lang="sr-Latn-RS" sz="1400" b="1" i="0">
                  <a:latin typeface="Cambria Math" panose="02040503050406030204" pitchFamily="18" charset="0"/>
                </a:rPr>
                <a:t> 𝐏</a:t>
              </a:r>
              <a:r>
                <a:rPr lang="en-US" sz="1400" b="1" i="0">
                  <a:latin typeface="Cambria Math" panose="02040503050406030204" pitchFamily="18" charset="0"/>
                </a:rPr>
                <a:t>𝐟+𝐧^</a:t>
              </a:r>
              <a:r>
                <a:rPr lang="en-US" sz="1400" b="0" i="0">
                  <a:latin typeface="Cambria Math" panose="02040503050406030204" pitchFamily="18" charset="0"/>
                </a:rPr>
                <a:t>𝑇 </a:t>
              </a:r>
              <a:r>
                <a:rPr lang="sr-Latn-RS" sz="1400" b="1" i="0">
                  <a:latin typeface="Cambria Math" panose="02040503050406030204" pitchFamily="18" charset="0"/>
                </a:rPr>
                <a:t>𝐱</a:t>
              </a:r>
              <a:r>
                <a:rPr lang="en-US" sz="1400" b="1" i="0">
                  <a:latin typeface="Cambria Math" panose="02040503050406030204" pitchFamily="18" charset="0"/>
                </a:rPr>
                <a:t> ̂</a:t>
              </a:r>
              <a:endParaRPr lang="sr-Latn-RS" sz="1400"/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445770</xdr:colOff>
      <xdr:row>0</xdr:row>
      <xdr:rowOff>167640</xdr:rowOff>
    </xdr:from>
    <xdr:to>
      <xdr:col>11</xdr:col>
      <xdr:colOff>570621</xdr:colOff>
      <xdr:row>6</xdr:row>
      <xdr:rowOff>39343</xdr:rowOff>
    </xdr:to>
    <xdr:sp macro="" textlink="">
      <xdr:nvSpPr>
        <xdr:cNvPr id="2" name="TextBox 3">
          <a:extLst>
            <a:ext uri="{FF2B5EF4-FFF2-40B4-BE49-F238E27FC236}">
              <a16:creationId xmlns:a16="http://schemas.microsoft.com/office/drawing/2014/main" id="{6FD275E2-86D8-457D-AB7D-CA0BB69AAA2F}"/>
            </a:ext>
          </a:extLst>
        </xdr:cNvPr>
        <xdr:cNvSpPr txBox="1"/>
      </xdr:nvSpPr>
      <xdr:spPr>
        <a:xfrm>
          <a:off x="445770" y="167640"/>
          <a:ext cx="7165731" cy="968983"/>
        </a:xfrm>
        <a:prstGeom prst="rect">
          <a:avLst/>
        </a:prstGeom>
        <a:noFill/>
        <a:ln>
          <a:solidFill>
            <a:schemeClr val="tx1"/>
          </a:solidFill>
        </a:ln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400"/>
            <a:t>U nivelmanskoj </a:t>
          </a:r>
          <a:r>
            <a:rPr lang="sr-Latn-RS" sz="1400"/>
            <a:t>mreži koja se sastoji od 6 repera merene su visinske razlike metodom geometrijskog nivelmana. Izravnati rezultate merenja i oceniti tačnost nepoznatih parametara. </a:t>
          </a:r>
        </a:p>
        <a:p>
          <a:r>
            <a:rPr lang="sr-Latn-RS" sz="1400"/>
            <a:t>Dati reperi: 10, 11 i 12</a:t>
          </a:r>
        </a:p>
        <a:p>
          <a:r>
            <a:rPr lang="sr-Latn-RS" sz="1400"/>
            <a:t>Nepoznati reperi: 1, 2 i 3</a:t>
          </a:r>
        </a:p>
      </xdr:txBody>
    </xdr:sp>
    <xdr:clientData/>
  </xdr:twoCellAnchor>
  <xdr:twoCellAnchor editAs="oneCell">
    <xdr:from>
      <xdr:col>12</xdr:col>
      <xdr:colOff>137160</xdr:colOff>
      <xdr:row>0</xdr:row>
      <xdr:rowOff>91440</xdr:rowOff>
    </xdr:from>
    <xdr:to>
      <xdr:col>16</xdr:col>
      <xdr:colOff>72390</xdr:colOff>
      <xdr:row>16</xdr:row>
      <xdr:rowOff>65593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3A28E2-44DB-424A-824F-BE75A55840D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7818120" y="91440"/>
          <a:ext cx="2495550" cy="2900233"/>
        </a:xfrm>
        <a:prstGeom prst="rect">
          <a:avLst/>
        </a:prstGeom>
      </xdr:spPr>
    </xdr:pic>
    <xdr:clientData/>
  </xdr:twoCellAnchor>
  <xdr:twoCellAnchor>
    <xdr:from>
      <xdr:col>14</xdr:col>
      <xdr:colOff>521970</xdr:colOff>
      <xdr:row>30</xdr:row>
      <xdr:rowOff>160020</xdr:rowOff>
    </xdr:from>
    <xdr:to>
      <xdr:col>17</xdr:col>
      <xdr:colOff>575310</xdr:colOff>
      <xdr:row>33</xdr:row>
      <xdr:rowOff>146078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4">
              <a:extLst>
                <a:ext uri="{FF2B5EF4-FFF2-40B4-BE49-F238E27FC236}">
                  <a16:creationId xmlns:a16="http://schemas.microsoft.com/office/drawing/2014/main" id="{ED7A2013-FD06-4080-BC00-8398866815EB}"/>
                </a:ext>
              </a:extLst>
            </xdr:cNvPr>
            <xdr:cNvSpPr txBox="1"/>
          </xdr:nvSpPr>
          <xdr:spPr>
            <a:xfrm>
              <a:off x="9483090" y="5646420"/>
              <a:ext cx="1973580" cy="534698"/>
            </a:xfrm>
            <a:prstGeom prst="rect">
              <a:avLst/>
            </a:prstGeom>
            <a:noFill/>
            <a:ln>
              <a:solidFill>
                <a:schemeClr val="tx1"/>
              </a:solidFill>
            </a:ln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400"/>
                <a:t>Kontrola ra</a:t>
              </a:r>
              <a:r>
                <a:rPr lang="sr-Latn-RS" sz="1400"/>
                <a:t>čunanja:</a:t>
              </a:r>
              <a:endParaRPr lang="en-US" sz="1400"/>
            </a:p>
            <a:p>
              <a:pPr/>
              <a14:m>
                <m:oMathPara xmlns:m="http://purl.oclc.org/ooxml/officeDocument/math">
                  <m:oMathParaPr>
                    <m:jc m:val="centerGroup"/>
                  </m:oMathParaPr>
                  <m:oMath xmlns:m="http://purl.oclc.org/ooxml/officeDocument/math">
                    <m:sSup>
                      <m:sSupPr>
                        <m:ctrlPr>
                          <a:rPr lang="sr-Latn-RS" sz="14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acc>
                          <m:accPr>
                            <m:chr m:val="̂"/>
                            <m:ctrlPr>
                              <a:rPr lang="en-US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400" b="1">
                                <a:latin typeface="Cambria Math" panose="02040503050406030204" pitchFamily="18" charset="0"/>
                              </a:rPr>
                              <m:t>𝐯</m:t>
                            </m:r>
                          </m:e>
                        </m:acc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p>
                    <m:r>
                      <a:rPr lang="sr-Latn-RS" sz="1400" b="1">
                        <a:latin typeface="Cambria Math" panose="02040503050406030204" pitchFamily="18" charset="0"/>
                      </a:rPr>
                      <m:t>𝐏</m:t>
                    </m:r>
                    <m:acc>
                      <m:accPr>
                        <m:chr m:val="̂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400" b="1">
                            <a:latin typeface="Cambria Math" panose="02040503050406030204" pitchFamily="18" charset="0"/>
                          </a:rPr>
                          <m:t>𝐯</m:t>
                        </m:r>
                      </m:e>
                    </m:acc>
                    <m:r>
                      <a:rPr lang="en-US" sz="1400" b="1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≡</m:t>
                    </m:r>
                    <m:sSup>
                      <m:sSupPr>
                        <m:ctrlPr>
                          <a:rPr lang="sr-Latn-RS" sz="14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1" i="0">
                            <a:latin typeface="Cambria Math" panose="02040503050406030204" pitchFamily="18" charset="0"/>
                          </a:rPr>
                          <m:t>𝐟</m:t>
                        </m:r>
                      </m:e>
                      <m:sup>
                        <m:r>
                          <a:rPr lang="en-US" sz="140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p>
                    <m:r>
                      <a:rPr lang="sr-Latn-RS" sz="1400" b="1">
                        <a:latin typeface="Cambria Math" panose="02040503050406030204" pitchFamily="18" charset="0"/>
                      </a:rPr>
                      <m:t>𝐏</m:t>
                    </m:r>
                    <m:r>
                      <a:rPr lang="en-US" sz="1400" b="1">
                        <a:latin typeface="Cambria Math" panose="02040503050406030204" pitchFamily="18" charset="0"/>
                      </a:rPr>
                      <m:t>𝐟</m:t>
                    </m:r>
                    <m:r>
                      <a:rPr lang="en-US" sz="1400" b="1" i="0">
                        <a:latin typeface="Cambria Math" panose="02040503050406030204" pitchFamily="18" charset="0"/>
                      </a:rPr>
                      <m:t>+</m:t>
                    </m:r>
                    <m:sSup>
                      <m:sSupPr>
                        <m:ctrlPr>
                          <a:rPr lang="en-US" sz="14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1" i="0">
                            <a:latin typeface="Cambria Math" panose="02040503050406030204" pitchFamily="18" charset="0"/>
                          </a:rPr>
                          <m:t>𝐧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p>
                    <m:acc>
                      <m:accPr>
                        <m:chr m:val="̂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sr-Latn-RS" sz="1400" b="1">
                            <a:latin typeface="Cambria Math" panose="02040503050406030204" pitchFamily="18" charset="0"/>
                          </a:rPr>
                          <m:t>𝐱</m:t>
                        </m:r>
                      </m:e>
                    </m:acc>
                  </m:oMath>
                </m:oMathPara>
              </a14:m>
              <a:endParaRPr lang="sr-Latn-RS" sz="1400"/>
            </a:p>
          </xdr:txBody>
        </xdr:sp>
      </mc:Choice>
      <mc:Fallback xmlns:a="http://schemas.openxmlformats.org/drawingml/2006/main" xmlns:xdr="http://schemas.openxmlformats.org/drawingml/2006/spreadsheetDrawing" xmlns="">
        <xdr:sp macro="" textlink="">
          <xdr:nvSpPr>
            <xdr:cNvPr id="4" name="TextBox 4">
              <a:extLst>
                <a:ext uri="{FF2B5EF4-FFF2-40B4-BE49-F238E27FC236}">
                  <a16:creationId xmlns:a16="http://schemas.microsoft.com/office/drawing/2014/main" id="{ED7A2013-FD06-4080-BC00-8398866815EB}"/>
                </a:ext>
              </a:extLst>
            </xdr:cNvPr>
            <xdr:cNvSpPr txBox="1"/>
          </xdr:nvSpPr>
          <xdr:spPr>
            <a:xfrm>
              <a:off x="9483090" y="5646420"/>
              <a:ext cx="1973580" cy="534698"/>
            </a:xfrm>
            <a:prstGeom prst="rect">
              <a:avLst/>
            </a:prstGeom>
            <a:noFill/>
            <a:ln>
              <a:solidFill>
                <a:schemeClr val="tx1"/>
              </a:solidFill>
            </a:ln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400"/>
                <a:t>Kontrola ra</a:t>
              </a:r>
              <a:r>
                <a:rPr lang="sr-Latn-RS" sz="1400"/>
                <a:t>čunanja:</a:t>
              </a:r>
              <a:endParaRPr lang="en-US" sz="1400"/>
            </a:p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𝐯 ̂</a:t>
              </a:r>
              <a:r>
                <a:rPr lang="sr-Latn-RS" sz="1400" b="1" i="0">
                  <a:latin typeface="Cambria Math" panose="02040503050406030204" pitchFamily="18" charset="0"/>
                </a:rPr>
                <a:t>^</a:t>
              </a:r>
              <a:r>
                <a:rPr lang="en-US" sz="1400" b="0" i="0">
                  <a:latin typeface="Cambria Math" panose="02040503050406030204" pitchFamily="18" charset="0"/>
                </a:rPr>
                <a:t>𝑇</a:t>
              </a:r>
              <a:r>
                <a:rPr lang="sr-Latn-RS" sz="1400" b="1" i="0">
                  <a:latin typeface="Cambria Math" panose="02040503050406030204" pitchFamily="18" charset="0"/>
                </a:rPr>
                <a:t> 𝐏</a:t>
              </a:r>
              <a:r>
                <a:rPr lang="en-US" sz="1400" b="1" i="0">
                  <a:latin typeface="Cambria Math" panose="02040503050406030204" pitchFamily="18" charset="0"/>
                </a:rPr>
                <a:t>𝐯 ̂</a:t>
              </a:r>
              <a:r>
                <a:rPr lang="en-US" sz="1400" b="1" i="0">
                  <a:latin typeface="Cambria Math" panose="02040503050406030204" pitchFamily="18" charset="0"/>
                  <a:ea typeface="Cambria Math" panose="02040503050406030204" pitchFamily="18" charset="0"/>
                </a:rPr>
                <a:t>≡</a:t>
              </a:r>
              <a:r>
                <a:rPr lang="en-US" sz="1400" b="1" i="0">
                  <a:latin typeface="Cambria Math" panose="02040503050406030204" pitchFamily="18" charset="0"/>
                </a:rPr>
                <a:t>𝐟</a:t>
              </a:r>
              <a:r>
                <a:rPr lang="sr-Latn-RS" sz="1400" b="1" i="0">
                  <a:latin typeface="Cambria Math" panose="02040503050406030204" pitchFamily="18" charset="0"/>
                </a:rPr>
                <a:t>^</a:t>
              </a:r>
              <a:r>
                <a:rPr lang="en-US" sz="1400" i="0">
                  <a:latin typeface="Cambria Math" panose="02040503050406030204" pitchFamily="18" charset="0"/>
                </a:rPr>
                <a:t>𝑇</a:t>
              </a:r>
              <a:r>
                <a:rPr lang="sr-Latn-RS" sz="1400" b="1" i="0">
                  <a:latin typeface="Cambria Math" panose="02040503050406030204" pitchFamily="18" charset="0"/>
                </a:rPr>
                <a:t> 𝐏</a:t>
              </a:r>
              <a:r>
                <a:rPr lang="en-US" sz="1400" b="1" i="0">
                  <a:latin typeface="Cambria Math" panose="02040503050406030204" pitchFamily="18" charset="0"/>
                </a:rPr>
                <a:t>𝐟+𝐧^</a:t>
              </a:r>
              <a:r>
                <a:rPr lang="en-US" sz="1400" b="0" i="0">
                  <a:latin typeface="Cambria Math" panose="02040503050406030204" pitchFamily="18" charset="0"/>
                </a:rPr>
                <a:t>𝑇 </a:t>
              </a:r>
              <a:r>
                <a:rPr lang="sr-Latn-RS" sz="1400" b="1" i="0">
                  <a:latin typeface="Cambria Math" panose="02040503050406030204" pitchFamily="18" charset="0"/>
                </a:rPr>
                <a:t>𝐱</a:t>
              </a:r>
              <a:r>
                <a:rPr lang="en-US" sz="1400" b="1" i="0">
                  <a:latin typeface="Cambria Math" panose="02040503050406030204" pitchFamily="18" charset="0"/>
                </a:rPr>
                <a:t> ̂</a:t>
              </a:r>
              <a:endParaRPr lang="sr-Latn-RS" sz="1400"/>
            </a:p>
          </xdr:txBody>
        </xdr:sp>
      </mc:Fallback>
    </mc:AlternateContent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R107"/>
  <sheetViews>
    <sheetView workbookViewId="0">
      <selection activeCell="K11" sqref="K11"/>
    </sheetView>
  </sheetViews>
  <sheetFormatPr defaultRowHeight="14.4" x14ac:dyDescent="0.55000000000000004"/>
  <cols>
    <col min="3" max="4" width="12.26171875" bestFit="1" customWidth="1"/>
    <col min="6" max="6" width="11.734375" bestFit="1" customWidth="1"/>
  </cols>
  <sheetData>
    <row r="6" spans="2:9" x14ac:dyDescent="0.55000000000000004">
      <c r="B6" s="11" t="s">
        <v>55</v>
      </c>
      <c r="C6" s="11" t="s">
        <v>48</v>
      </c>
      <c r="D6" s="11" t="s">
        <v>49</v>
      </c>
      <c r="E6" s="11" t="s">
        <v>50</v>
      </c>
      <c r="F6" s="11" t="s">
        <v>51</v>
      </c>
    </row>
    <row r="7" spans="2:9" x14ac:dyDescent="0.55000000000000004">
      <c r="B7" s="12" t="s">
        <v>52</v>
      </c>
      <c r="C7" s="11">
        <v>61</v>
      </c>
      <c r="D7" s="11">
        <v>18</v>
      </c>
      <c r="E7" s="11">
        <v>42.81</v>
      </c>
      <c r="F7" s="13">
        <f>C7+D7/60+E7/3600</f>
        <v>61.311891666666661</v>
      </c>
    </row>
    <row r="8" spans="2:9" x14ac:dyDescent="0.55000000000000004">
      <c r="B8" s="12" t="s">
        <v>53</v>
      </c>
      <c r="C8" s="11">
        <v>84</v>
      </c>
      <c r="D8" s="11">
        <v>29</v>
      </c>
      <c r="E8" s="11">
        <v>2.23</v>
      </c>
      <c r="F8" s="13">
        <f t="shared" ref="F8:F9" si="0">C8+D8/60+E8/3600</f>
        <v>84.483952777777773</v>
      </c>
    </row>
    <row r="9" spans="2:9" x14ac:dyDescent="0.55000000000000004">
      <c r="B9" s="12" t="s">
        <v>54</v>
      </c>
      <c r="C9" s="11">
        <v>34</v>
      </c>
      <c r="D9" s="11">
        <v>12</v>
      </c>
      <c r="E9" s="11">
        <v>19.809999999999999</v>
      </c>
      <c r="F9" s="13">
        <f t="shared" si="0"/>
        <v>34.205502777777781</v>
      </c>
    </row>
    <row r="10" spans="2:9" x14ac:dyDescent="0.55000000000000004">
      <c r="B10" s="11" t="s">
        <v>59</v>
      </c>
      <c r="C10" s="11" t="s">
        <v>60</v>
      </c>
      <c r="E10" s="1"/>
      <c r="F10" s="9"/>
    </row>
    <row r="11" spans="2:9" x14ac:dyDescent="0.55000000000000004">
      <c r="B11" s="11" t="s">
        <v>56</v>
      </c>
      <c r="C11" s="14">
        <v>1327.6279812826933</v>
      </c>
    </row>
    <row r="12" spans="2:9" x14ac:dyDescent="0.55000000000000004">
      <c r="B12" s="11" t="s">
        <v>57</v>
      </c>
      <c r="C12" s="14">
        <v>1506.3802069033716</v>
      </c>
    </row>
    <row r="13" spans="2:9" x14ac:dyDescent="0.55000000000000004">
      <c r="B13" s="11" t="s">
        <v>58</v>
      </c>
      <c r="C13" s="14">
        <v>850.75407558822292</v>
      </c>
    </row>
    <row r="15" spans="2:9" x14ac:dyDescent="0.55000000000000004">
      <c r="I15" s="1"/>
    </row>
    <row r="16" spans="2:9" x14ac:dyDescent="0.55000000000000004">
      <c r="I16" s="1"/>
    </row>
    <row r="38" spans="2:18" x14ac:dyDescent="0.55000000000000004">
      <c r="B38" s="1" t="s">
        <v>1</v>
      </c>
      <c r="C38">
        <f>RADIANS(F7)</f>
        <v>1.0700943802094069</v>
      </c>
      <c r="D38" t="s">
        <v>6</v>
      </c>
    </row>
    <row r="39" spans="2:18" x14ac:dyDescent="0.55000000000000004">
      <c r="B39" s="1" t="s">
        <v>2</v>
      </c>
      <c r="C39">
        <f>RADIANS(F8)</f>
        <v>1.4745231410716315</v>
      </c>
      <c r="D39" t="s">
        <v>6</v>
      </c>
      <c r="G39" s="2" t="s">
        <v>33</v>
      </c>
      <c r="H39">
        <f>(DEGREES(C38)-F7)*3600</f>
        <v>2.5579538487363607E-11</v>
      </c>
      <c r="I39" t="s">
        <v>9</v>
      </c>
      <c r="K39" s="2" t="s">
        <v>21</v>
      </c>
      <c r="L39">
        <v>2</v>
      </c>
      <c r="N39" s="28" t="s">
        <v>22</v>
      </c>
      <c r="O39" s="28"/>
    </row>
    <row r="40" spans="2:18" x14ac:dyDescent="0.55000000000000004">
      <c r="B40" s="1" t="s">
        <v>3</v>
      </c>
      <c r="C40">
        <f>C11*1000</f>
        <v>1327627.9812826933</v>
      </c>
      <c r="D40" t="s">
        <v>7</v>
      </c>
      <c r="G40" s="2" t="s">
        <v>34</v>
      </c>
      <c r="H40">
        <f>(DEGREES(C39)-F8)*3600</f>
        <v>5.1159076974727213E-11</v>
      </c>
      <c r="I40" t="s">
        <v>9</v>
      </c>
      <c r="K40" s="2" t="s">
        <v>20</v>
      </c>
      <c r="L40">
        <f>SQRT(2)*L39</f>
        <v>2.8284271247461903</v>
      </c>
      <c r="N40" s="2" t="s">
        <v>23</v>
      </c>
      <c r="O40">
        <v>1</v>
      </c>
      <c r="Q40" s="2" t="s">
        <v>27</v>
      </c>
      <c r="R40">
        <f>$O$40^2/$L$40^2</f>
        <v>0.12499999999999997</v>
      </c>
    </row>
    <row r="41" spans="2:18" x14ac:dyDescent="0.55000000000000004">
      <c r="B41" s="2" t="s">
        <v>8</v>
      </c>
      <c r="C41">
        <f>(180/PI())*3600</f>
        <v>206264.80624709636</v>
      </c>
      <c r="D41" t="s">
        <v>9</v>
      </c>
      <c r="G41" s="2" t="s">
        <v>35</v>
      </c>
      <c r="H41">
        <f>((180-DEGREES(C38)-DEGREES(C39))-F9)*3600</f>
        <v>-4.8500000000501586</v>
      </c>
      <c r="I41" t="s">
        <v>9</v>
      </c>
      <c r="K41" s="7"/>
      <c r="L41" s="7"/>
      <c r="Q41" s="2" t="s">
        <v>28</v>
      </c>
      <c r="R41">
        <f>$O$40^2/$L$40^2</f>
        <v>0.12499999999999997</v>
      </c>
    </row>
    <row r="42" spans="2:18" x14ac:dyDescent="0.55000000000000004">
      <c r="G42" s="1" t="s">
        <v>36</v>
      </c>
      <c r="H42">
        <f>(C40-C11*1000)</f>
        <v>0</v>
      </c>
      <c r="I42" t="s">
        <v>7</v>
      </c>
      <c r="K42" s="2" t="s">
        <v>24</v>
      </c>
      <c r="L42">
        <f>3+3*C11/1000</f>
        <v>6.9828839438480799</v>
      </c>
      <c r="N42" s="2"/>
      <c r="Q42" s="2" t="s">
        <v>29</v>
      </c>
      <c r="R42">
        <f>$O$40^2/$L$40^2</f>
        <v>0.12499999999999997</v>
      </c>
    </row>
    <row r="43" spans="2:18" x14ac:dyDescent="0.55000000000000004">
      <c r="B43" s="1" t="s">
        <v>10</v>
      </c>
      <c r="C43">
        <f>(-C40*SIN(C39)*COS(C38))/(SIN(C38)^2 * C41)</f>
        <v>-3.9964246522707843</v>
      </c>
      <c r="D43" s="1" t="s">
        <v>13</v>
      </c>
      <c r="E43">
        <f>(-C40*COS(PI()-C38-C39)*SIN(C38)-C40*SIN(PI()-C38-C39)*COS(C38))/(SIN(C38)^2*C41)</f>
        <v>-8.3251660132039458</v>
      </c>
      <c r="G43" s="1" t="s">
        <v>37</v>
      </c>
      <c r="H43">
        <f>((C40*SIN(C39))/SIN(C38))-C12*1000</f>
        <v>16.441013222560287</v>
      </c>
      <c r="I43" t="s">
        <v>7</v>
      </c>
      <c r="K43" s="2" t="s">
        <v>25</v>
      </c>
      <c r="L43">
        <f>3+3*C12/1000</f>
        <v>7.5191406207101146</v>
      </c>
      <c r="N43" s="2"/>
      <c r="Q43" s="1" t="s">
        <v>30</v>
      </c>
      <c r="R43">
        <f>$O$40^2/L42^2</f>
        <v>2.0508332585741123E-2</v>
      </c>
    </row>
    <row r="44" spans="2:18" x14ac:dyDescent="0.55000000000000004">
      <c r="B44" s="1" t="s">
        <v>11</v>
      </c>
      <c r="C44">
        <f>(C40*COS(C39))/(SIN(C38)*C41)</f>
        <v>0.70528430016572541</v>
      </c>
      <c r="D44" s="1" t="s">
        <v>14</v>
      </c>
      <c r="E44">
        <f>(-C40*COS(PI()-C39-C38)/(SIN(C38)*C41))</f>
        <v>-6.0681508935633266</v>
      </c>
      <c r="G44" s="1" t="s">
        <v>38</v>
      </c>
      <c r="H44">
        <f>(C40*SIN(PI()-C38-C39)/SIN(C38))-C13*1000</f>
        <v>-3.6407985101686791</v>
      </c>
      <c r="I44" t="s">
        <v>7</v>
      </c>
      <c r="K44" s="2" t="s">
        <v>26</v>
      </c>
      <c r="L44">
        <f>3+3*C13/1000</f>
        <v>5.5522622267646691</v>
      </c>
      <c r="N44" s="2"/>
      <c r="Q44" s="1" t="s">
        <v>31</v>
      </c>
      <c r="R44">
        <f>$O$40^2/L43^2</f>
        <v>1.7687383245864371E-2</v>
      </c>
    </row>
    <row r="45" spans="2:18" x14ac:dyDescent="0.55000000000000004">
      <c r="B45" s="1" t="s">
        <v>12</v>
      </c>
      <c r="C45">
        <f>SIN(C39)/SIN(C38)</f>
        <v>1.1346526806863342</v>
      </c>
      <c r="D45" s="1" t="s">
        <v>15</v>
      </c>
      <c r="E45">
        <f>SIN(C39+C38)/SIN(C38)</f>
        <v>0.64080483899394558</v>
      </c>
      <c r="M45" s="1"/>
      <c r="Q45" s="1" t="s">
        <v>32</v>
      </c>
      <c r="R45">
        <f>$O$40^2/L44^2</f>
        <v>3.2438447571171307E-2</v>
      </c>
    </row>
    <row r="46" spans="2:18" x14ac:dyDescent="0.55000000000000004">
      <c r="J46" s="1"/>
      <c r="L46" s="1"/>
    </row>
    <row r="47" spans="2:18" x14ac:dyDescent="0.55000000000000004">
      <c r="C47" s="3" t="s">
        <v>17</v>
      </c>
      <c r="D47" s="3" t="s">
        <v>18</v>
      </c>
      <c r="E47" s="3" t="s">
        <v>19</v>
      </c>
      <c r="J47" s="1"/>
    </row>
    <row r="48" spans="2:18" x14ac:dyDescent="0.55000000000000004">
      <c r="C48" s="4">
        <v>1</v>
      </c>
      <c r="D48" s="5">
        <v>0</v>
      </c>
      <c r="E48" s="6">
        <v>0</v>
      </c>
      <c r="H48" s="8">
        <f>H39</f>
        <v>2.5579538487363607E-11</v>
      </c>
      <c r="K48" s="4">
        <f>R40</f>
        <v>0.12499999999999997</v>
      </c>
      <c r="L48" s="5">
        <v>0</v>
      </c>
      <c r="M48" s="5">
        <v>0</v>
      </c>
      <c r="N48" s="5">
        <v>0</v>
      </c>
      <c r="O48" s="5">
        <v>0</v>
      </c>
      <c r="P48" s="6">
        <v>0</v>
      </c>
    </row>
    <row r="49" spans="2:18" x14ac:dyDescent="0.55000000000000004">
      <c r="C49" s="4">
        <v>0</v>
      </c>
      <c r="D49" s="5">
        <v>1</v>
      </c>
      <c r="E49" s="6">
        <v>0</v>
      </c>
      <c r="H49" s="8">
        <f t="shared" ref="H49:H53" si="1">H40</f>
        <v>5.1159076974727213E-11</v>
      </c>
      <c r="K49" s="4">
        <v>0</v>
      </c>
      <c r="L49" s="5">
        <f>R41</f>
        <v>0.12499999999999997</v>
      </c>
      <c r="M49" s="5">
        <v>0</v>
      </c>
      <c r="N49" s="5">
        <v>0</v>
      </c>
      <c r="O49" s="5">
        <v>0</v>
      </c>
      <c r="P49" s="6">
        <v>0</v>
      </c>
    </row>
    <row r="50" spans="2:18" x14ac:dyDescent="0.55000000000000004">
      <c r="B50" s="3" t="s">
        <v>16</v>
      </c>
      <c r="C50" s="4">
        <v>-1</v>
      </c>
      <c r="D50" s="5">
        <v>-1</v>
      </c>
      <c r="E50" s="6">
        <v>0</v>
      </c>
      <c r="G50" s="3" t="s">
        <v>39</v>
      </c>
      <c r="H50" s="8">
        <f t="shared" si="1"/>
        <v>-4.8500000000501586</v>
      </c>
      <c r="J50" s="3" t="s">
        <v>40</v>
      </c>
      <c r="K50" s="4">
        <v>0</v>
      </c>
      <c r="L50" s="5">
        <v>0</v>
      </c>
      <c r="M50" s="5">
        <f>R42</f>
        <v>0.12499999999999997</v>
      </c>
      <c r="N50" s="5">
        <v>0</v>
      </c>
      <c r="O50" s="5">
        <v>0</v>
      </c>
      <c r="P50" s="6">
        <v>0</v>
      </c>
    </row>
    <row r="51" spans="2:18" x14ac:dyDescent="0.55000000000000004">
      <c r="C51" s="4">
        <v>0</v>
      </c>
      <c r="D51" s="5">
        <v>0</v>
      </c>
      <c r="E51" s="6">
        <v>1</v>
      </c>
      <c r="H51" s="8">
        <f t="shared" si="1"/>
        <v>0</v>
      </c>
      <c r="K51" s="4">
        <v>0</v>
      </c>
      <c r="L51" s="5">
        <v>0</v>
      </c>
      <c r="M51" s="5">
        <v>0</v>
      </c>
      <c r="N51" s="5">
        <f>R43</f>
        <v>2.0508332585741123E-2</v>
      </c>
      <c r="O51" s="5">
        <v>0</v>
      </c>
      <c r="P51" s="6">
        <v>0</v>
      </c>
    </row>
    <row r="52" spans="2:18" x14ac:dyDescent="0.55000000000000004">
      <c r="C52" s="4">
        <f>C43</f>
        <v>-3.9964246522707843</v>
      </c>
      <c r="D52" s="5">
        <f>C44</f>
        <v>0.70528430016572541</v>
      </c>
      <c r="E52" s="6">
        <f>C45</f>
        <v>1.1346526806863342</v>
      </c>
      <c r="H52" s="8">
        <f t="shared" si="1"/>
        <v>16.441013222560287</v>
      </c>
      <c r="K52" s="4">
        <v>0</v>
      </c>
      <c r="L52" s="5">
        <v>0</v>
      </c>
      <c r="M52" s="5">
        <v>0</v>
      </c>
      <c r="N52" s="5">
        <v>0</v>
      </c>
      <c r="O52" s="5">
        <f>R44</f>
        <v>1.7687383245864371E-2</v>
      </c>
      <c r="P52" s="6">
        <v>0</v>
      </c>
    </row>
    <row r="53" spans="2:18" x14ac:dyDescent="0.55000000000000004">
      <c r="C53" s="4">
        <f>E43</f>
        <v>-8.3251660132039458</v>
      </c>
      <c r="D53" s="5">
        <f>E44</f>
        <v>-6.0681508935633266</v>
      </c>
      <c r="E53" s="6">
        <f>E45</f>
        <v>0.64080483899394558</v>
      </c>
      <c r="H53" s="8">
        <f t="shared" si="1"/>
        <v>-3.6407985101686791</v>
      </c>
      <c r="K53" s="4">
        <v>0</v>
      </c>
      <c r="L53" s="5">
        <v>0</v>
      </c>
      <c r="M53" s="5">
        <v>0</v>
      </c>
      <c r="N53" s="5">
        <v>0</v>
      </c>
      <c r="O53" s="5">
        <v>0</v>
      </c>
      <c r="P53" s="6">
        <f>R45</f>
        <v>3.2438447571171307E-2</v>
      </c>
    </row>
    <row r="56" spans="2:18" x14ac:dyDescent="0.55000000000000004">
      <c r="C56" s="4">
        <f t="array" ref="C56:E58">MMULT(MMULT(TRANSPOSE(C48:E53),K48:P53),C48:E53)</f>
        <v>2.7807489972698995</v>
      </c>
      <c r="D56">
        <v>1.7138833547349184</v>
      </c>
      <c r="E56" s="6">
        <v>-0.25325723983151194</v>
      </c>
      <c r="H56" s="8">
        <f t="array" ref="H56:H58">MMULT(MMULT(TRANSPOSE(C48:E53),K48:P53),H48:H53)</f>
        <v>0.42731321944935197</v>
      </c>
    </row>
    <row r="57" spans="2:18" x14ac:dyDescent="0.55000000000000004">
      <c r="B57" s="3" t="s">
        <v>41</v>
      </c>
      <c r="C57" s="4">
        <v>1.7138833547349184</v>
      </c>
      <c r="D57">
        <v>1.4532614479311419</v>
      </c>
      <c r="E57" s="6">
        <v>-0.11198254159895114</v>
      </c>
      <c r="G57" s="3" t="s">
        <v>42</v>
      </c>
      <c r="H57" s="8">
        <v>1.5280054741095623</v>
      </c>
    </row>
    <row r="58" spans="2:18" x14ac:dyDescent="0.55000000000000004">
      <c r="C58" s="4">
        <v>-0.25325723983151188</v>
      </c>
      <c r="D58">
        <v>-0.11198254159895114</v>
      </c>
      <c r="E58" s="6">
        <v>5.6599946034698298E-2</v>
      </c>
      <c r="H58" s="8">
        <v>0.25427506163450531</v>
      </c>
    </row>
    <row r="61" spans="2:18" x14ac:dyDescent="0.55000000000000004">
      <c r="C61" s="4">
        <f t="array" ref="C61:E63">MINVERSE(C56:E58)</f>
        <v>2.2059017955753157</v>
      </c>
      <c r="D61">
        <v>-2.17207292686727</v>
      </c>
      <c r="E61" s="6">
        <v>5.5729090802408283</v>
      </c>
      <c r="H61" s="8">
        <f t="array" ref="H61:H63">-MMULT(C61:E63,H56:H58)</f>
        <v>0.95927652450024237</v>
      </c>
      <c r="K61" s="8">
        <f t="array" ref="K61:K66">MMULT(C48:E53,H61:H63)+H48:H53</f>
        <v>0.95927652452582191</v>
      </c>
      <c r="M61" t="s">
        <v>45</v>
      </c>
      <c r="N61" cm="1">
        <f t="array" ref="N61">SQRT(MMULT(MMULT(TRANSPOSE(K61:K66),K48:P53),K61:K66)/N62)</f>
        <v>1.0396410021002369</v>
      </c>
      <c r="P61" s="27">
        <f t="array" ref="P61">MMULT(MMULT(TRANSPOSE(K61:K66),K48:P53),K61:K66)</f>
        <v>3.2425602397439541</v>
      </c>
      <c r="Q61" s="10">
        <f t="array" ref="Q61">MMULT(MMULT(TRANSPOSE(H48:H53),K48:P53),H48:H53)+MMULT(TRANSPOSE(H56:H58),H61:H63)</f>
        <v>3.2425602397439519</v>
      </c>
      <c r="R61" s="19" t="s">
        <v>79</v>
      </c>
    </row>
    <row r="62" spans="2:18" x14ac:dyDescent="0.55000000000000004">
      <c r="B62" s="3" t="s">
        <v>43</v>
      </c>
      <c r="C62" s="4">
        <v>-2.1720729268672696</v>
      </c>
      <c r="D62">
        <v>2.9506456373820709</v>
      </c>
      <c r="E62" s="6">
        <v>-3.8811414449863215</v>
      </c>
      <c r="G62" s="3" t="s">
        <v>44</v>
      </c>
      <c r="H62" s="8">
        <v>-2.5935697306827437</v>
      </c>
      <c r="K62" s="8">
        <v>-2.5935697306315846</v>
      </c>
      <c r="M62" t="s">
        <v>46</v>
      </c>
      <c r="N62">
        <f>6-3</f>
        <v>3</v>
      </c>
    </row>
    <row r="63" spans="2:18" x14ac:dyDescent="0.55000000000000004">
      <c r="C63" s="4">
        <v>5.5729090802408257</v>
      </c>
      <c r="D63">
        <v>-3.8811414449863184</v>
      </c>
      <c r="E63" s="6">
        <v>34.92511259581989</v>
      </c>
      <c r="H63" s="8">
        <v>-5.3315575049377841</v>
      </c>
      <c r="J63" s="3" t="s">
        <v>47</v>
      </c>
      <c r="K63" s="8">
        <v>-3.2157067938676573</v>
      </c>
    </row>
    <row r="64" spans="2:18" x14ac:dyDescent="0.55000000000000004">
      <c r="K64" s="8">
        <v>-5.3315575049377841</v>
      </c>
    </row>
    <row r="65" spans="2:11" x14ac:dyDescent="0.55000000000000004">
      <c r="K65" s="8">
        <v>4.728666844056292</v>
      </c>
    </row>
    <row r="66" spans="2:11" x14ac:dyDescent="0.55000000000000004">
      <c r="K66" s="8">
        <v>0.69474980102016914</v>
      </c>
    </row>
    <row r="69" spans="2:11" ht="18.3" x14ac:dyDescent="0.7">
      <c r="B69" s="15" t="s">
        <v>61</v>
      </c>
    </row>
    <row r="71" spans="2:11" x14ac:dyDescent="0.55000000000000004">
      <c r="B71" s="1" t="s">
        <v>62</v>
      </c>
      <c r="C71">
        <f>N61^2/O40^2</f>
        <v>1.0808534132479848</v>
      </c>
      <c r="D71" s="3" t="s">
        <v>64</v>
      </c>
      <c r="E71" s="1" t="s">
        <v>63</v>
      </c>
      <c r="F71">
        <f>FINV(H73,N62,10000)</f>
        <v>2.6057970722909158</v>
      </c>
    </row>
    <row r="73" spans="2:11" ht="15.6" x14ac:dyDescent="0.6">
      <c r="B73" s="29" t="s">
        <v>65</v>
      </c>
      <c r="C73" s="29"/>
      <c r="D73" s="29"/>
      <c r="E73" s="29"/>
      <c r="F73" s="29"/>
      <c r="G73" s="2" t="s">
        <v>0</v>
      </c>
      <c r="H73" s="16">
        <v>0.05</v>
      </c>
    </row>
    <row r="76" spans="2:11" ht="18.3" x14ac:dyDescent="0.55000000000000004">
      <c r="B76" s="18" t="s">
        <v>66</v>
      </c>
    </row>
    <row r="78" spans="2:11" x14ac:dyDescent="0.55000000000000004">
      <c r="B78" s="1" t="s">
        <v>67</v>
      </c>
      <c r="C78">
        <f>DEGREES(C38)+H61/3600</f>
        <v>61.312158132367919</v>
      </c>
      <c r="D78" t="s">
        <v>5</v>
      </c>
    </row>
    <row r="79" spans="2:11" x14ac:dyDescent="0.55000000000000004">
      <c r="B79" s="1" t="s">
        <v>68</v>
      </c>
      <c r="C79">
        <f>DEGREES(C39)+H62/3600</f>
        <v>84.483232341741484</v>
      </c>
      <c r="D79" t="s">
        <v>5</v>
      </c>
    </row>
    <row r="80" spans="2:11" x14ac:dyDescent="0.55000000000000004">
      <c r="B80" s="1" t="s">
        <v>69</v>
      </c>
      <c r="C80">
        <f>(C40+H63)/1000</f>
        <v>1327.6226497251885</v>
      </c>
      <c r="D80" t="s">
        <v>4</v>
      </c>
    </row>
    <row r="83" spans="2:7" ht="18.3" x14ac:dyDescent="0.55000000000000004">
      <c r="B83" s="18" t="s">
        <v>70</v>
      </c>
    </row>
    <row r="85" spans="2:7" x14ac:dyDescent="0.55000000000000004">
      <c r="B85" s="1" t="s">
        <v>71</v>
      </c>
      <c r="C85">
        <f>F7+H61/3600</f>
        <v>61.312158132367912</v>
      </c>
      <c r="D85" t="s">
        <v>5</v>
      </c>
    </row>
    <row r="86" spans="2:7" x14ac:dyDescent="0.55000000000000004">
      <c r="B86" s="1" t="s">
        <v>72</v>
      </c>
      <c r="C86">
        <f t="shared" ref="C86:C87" si="2">F8+H62/3600</f>
        <v>84.48323234174147</v>
      </c>
      <c r="D86" t="s">
        <v>5</v>
      </c>
    </row>
    <row r="87" spans="2:7" x14ac:dyDescent="0.55000000000000004">
      <c r="B87" s="1" t="s">
        <v>73</v>
      </c>
      <c r="C87">
        <f t="shared" si="2"/>
        <v>34.204021789581965</v>
      </c>
      <c r="D87" t="s">
        <v>5</v>
      </c>
    </row>
    <row r="88" spans="2:7" x14ac:dyDescent="0.55000000000000004">
      <c r="B88" s="1" t="s">
        <v>74</v>
      </c>
      <c r="C88">
        <f>C11+K64/1000</f>
        <v>1327.6226497251885</v>
      </c>
      <c r="D88" t="s">
        <v>4</v>
      </c>
    </row>
    <row r="89" spans="2:7" x14ac:dyDescent="0.55000000000000004">
      <c r="B89" s="1" t="s">
        <v>75</v>
      </c>
      <c r="C89">
        <f t="shared" ref="C89" si="3">C12+K65/1000</f>
        <v>1506.3849355702157</v>
      </c>
      <c r="D89" t="s">
        <v>4</v>
      </c>
    </row>
    <row r="90" spans="2:7" x14ac:dyDescent="0.55000000000000004">
      <c r="B90" s="1" t="s">
        <v>76</v>
      </c>
      <c r="C90">
        <f>C13+K66/1000</f>
        <v>850.75477033802395</v>
      </c>
      <c r="D90" t="s">
        <v>4</v>
      </c>
    </row>
    <row r="92" spans="2:7" ht="18.3" x14ac:dyDescent="0.7">
      <c r="B92" s="17" t="s">
        <v>77</v>
      </c>
    </row>
    <row r="94" spans="2:7" x14ac:dyDescent="0.55000000000000004">
      <c r="C94" s="8">
        <f>(C78-F7)*3600</f>
        <v>0.95927652453156043</v>
      </c>
      <c r="F94" s="8">
        <f t="array" ref="F94:F99">ROUND(C94:C99-K61:K66,)</f>
        <v>0</v>
      </c>
      <c r="G94" s="19" t="s">
        <v>79</v>
      </c>
    </row>
    <row r="95" spans="2:7" x14ac:dyDescent="0.55000000000000004">
      <c r="C95" s="8">
        <f>(C79-F8)*3600</f>
        <v>-2.5935697306408656</v>
      </c>
      <c r="F95" s="8">
        <v>0</v>
      </c>
      <c r="G95" s="19" t="s">
        <v>79</v>
      </c>
    </row>
    <row r="96" spans="2:7" x14ac:dyDescent="0.55000000000000004">
      <c r="B96" s="3" t="s">
        <v>78</v>
      </c>
      <c r="C96" s="8">
        <f>((180-C78-C79)-F9)*3600</f>
        <v>-3.2157067938896944</v>
      </c>
      <c r="E96" s="3" t="s">
        <v>80</v>
      </c>
      <c r="F96" s="8">
        <v>0</v>
      </c>
      <c r="G96" s="19" t="s">
        <v>79</v>
      </c>
    </row>
    <row r="97" spans="2:7" x14ac:dyDescent="0.55000000000000004">
      <c r="C97" s="8">
        <f>(C80-C11)*1000</f>
        <v>-5.3315575048600294</v>
      </c>
      <c r="F97" s="8">
        <v>0</v>
      </c>
      <c r="G97" s="19" t="s">
        <v>79</v>
      </c>
    </row>
    <row r="98" spans="2:7" x14ac:dyDescent="0.55000000000000004">
      <c r="C98" s="8">
        <f>(C80*1000*SIN(RADIANS(C79))/SIN(RADIANS(C78)))-C12*1000</f>
        <v>4.7286012044642121</v>
      </c>
      <c r="F98" s="8">
        <v>0</v>
      </c>
      <c r="G98" s="19" t="s">
        <v>79</v>
      </c>
    </row>
    <row r="99" spans="2:7" x14ac:dyDescent="0.55000000000000004">
      <c r="C99" s="8">
        <f>(C80*1000*SIN(PI()-RADIANS(C78)-RADIANS(C79)))/SIN(RADIANS(C78))-C13*1000</f>
        <v>0.69468143861740828</v>
      </c>
      <c r="F99" s="8">
        <v>0</v>
      </c>
      <c r="G99" s="19" t="s">
        <v>79</v>
      </c>
    </row>
    <row r="102" spans="2:7" ht="18.3" x14ac:dyDescent="0.7">
      <c r="B102" s="20" t="s">
        <v>81</v>
      </c>
    </row>
    <row r="105" spans="2:7" x14ac:dyDescent="0.55000000000000004">
      <c r="B105" s="2" t="s">
        <v>82</v>
      </c>
      <c r="C105">
        <f>$N$61*SQRT(C61)</f>
        <v>1.5441037805268913</v>
      </c>
    </row>
    <row r="106" spans="2:7" x14ac:dyDescent="0.55000000000000004">
      <c r="B106" s="2" t="s">
        <v>83</v>
      </c>
      <c r="C106">
        <f>$N$61*SQRT(D62)</f>
        <v>1.7858374529754064</v>
      </c>
    </row>
    <row r="107" spans="2:7" x14ac:dyDescent="0.55000000000000004">
      <c r="B107" s="2" t="s">
        <v>84</v>
      </c>
      <c r="C107">
        <f>$N$61*SQRT(E63)</f>
        <v>6.1440155563981218</v>
      </c>
    </row>
  </sheetData>
  <mergeCells count="2">
    <mergeCell ref="N39:O39"/>
    <mergeCell ref="B73:F7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8:R88"/>
  <sheetViews>
    <sheetView tabSelected="1" workbookViewId="0">
      <selection activeCell="C54" sqref="C54"/>
    </sheetView>
  </sheetViews>
  <sheetFormatPr defaultRowHeight="14.4" x14ac:dyDescent="0.55000000000000004"/>
  <sheetData>
    <row r="8" spans="2:12" x14ac:dyDescent="0.55000000000000004">
      <c r="B8" s="11" t="s">
        <v>85</v>
      </c>
      <c r="C8" s="11" t="s">
        <v>86</v>
      </c>
      <c r="D8" s="11" t="s">
        <v>87</v>
      </c>
      <c r="E8" s="21" t="s">
        <v>90</v>
      </c>
      <c r="F8" s="25" t="s">
        <v>94</v>
      </c>
      <c r="H8" s="11" t="s">
        <v>88</v>
      </c>
      <c r="I8" s="11" t="s">
        <v>89</v>
      </c>
    </row>
    <row r="9" spans="2:12" x14ac:dyDescent="0.55000000000000004">
      <c r="B9" s="11">
        <v>10</v>
      </c>
      <c r="C9" s="11">
        <v>1</v>
      </c>
      <c r="D9" s="11">
        <v>1.2</v>
      </c>
      <c r="E9" s="10">
        <v>2.1954600000000002</v>
      </c>
      <c r="F9" s="10">
        <f>1/D9</f>
        <v>0.83333333333333337</v>
      </c>
      <c r="H9" s="11">
        <v>10</v>
      </c>
      <c r="I9" s="10">
        <v>104.8976</v>
      </c>
      <c r="K9" s="26" t="s">
        <v>102</v>
      </c>
      <c r="L9">
        <f>I9+E9</f>
        <v>107.09305999999999</v>
      </c>
    </row>
    <row r="10" spans="2:12" x14ac:dyDescent="0.55000000000000004">
      <c r="B10" s="11">
        <v>10</v>
      </c>
      <c r="C10" s="11">
        <v>3</v>
      </c>
      <c r="D10" s="11">
        <v>1.8</v>
      </c>
      <c r="E10" s="10">
        <v>-2.1351</v>
      </c>
      <c r="F10" s="10">
        <f t="shared" ref="F10:F16" si="0">1/D10</f>
        <v>0.55555555555555558</v>
      </c>
      <c r="H10" s="11">
        <v>11</v>
      </c>
      <c r="I10" s="10">
        <v>104.4559</v>
      </c>
      <c r="K10" s="26" t="s">
        <v>103</v>
      </c>
      <c r="L10">
        <f>I11+E13</f>
        <v>107.0895</v>
      </c>
    </row>
    <row r="11" spans="2:12" x14ac:dyDescent="0.55000000000000004">
      <c r="B11" s="11">
        <v>11</v>
      </c>
      <c r="C11" s="11">
        <v>2</v>
      </c>
      <c r="D11" s="11">
        <v>0.9</v>
      </c>
      <c r="E11" s="10">
        <v>3.0904400000000001</v>
      </c>
      <c r="F11" s="10">
        <f t="shared" si="0"/>
        <v>1.1111111111111112</v>
      </c>
      <c r="H11" s="11">
        <v>12</v>
      </c>
      <c r="I11" s="10">
        <v>106.4631</v>
      </c>
      <c r="K11" s="26" t="s">
        <v>104</v>
      </c>
      <c r="L11">
        <f>I10+E11</f>
        <v>107.54634</v>
      </c>
    </row>
    <row r="12" spans="2:12" x14ac:dyDescent="0.55000000000000004">
      <c r="B12" s="11">
        <v>11</v>
      </c>
      <c r="C12" s="11">
        <v>3</v>
      </c>
      <c r="D12" s="11">
        <v>1.4</v>
      </c>
      <c r="E12" s="10">
        <v>-1.6941999999999999</v>
      </c>
      <c r="F12" s="10">
        <f t="shared" si="0"/>
        <v>0.7142857142857143</v>
      </c>
      <c r="H12" s="11">
        <v>1</v>
      </c>
      <c r="I12" s="10">
        <f>AVERAGE(L9:L10)</f>
        <v>107.09128</v>
      </c>
      <c r="K12" s="26" t="s">
        <v>105</v>
      </c>
      <c r="L12">
        <f>I11+E14</f>
        <v>107.54619</v>
      </c>
    </row>
    <row r="13" spans="2:12" x14ac:dyDescent="0.55000000000000004">
      <c r="B13" s="11">
        <v>12</v>
      </c>
      <c r="C13" s="11">
        <v>1</v>
      </c>
      <c r="D13" s="11">
        <v>1.1000000000000001</v>
      </c>
      <c r="E13" s="10">
        <v>0.62639999999999996</v>
      </c>
      <c r="F13" s="10">
        <f t="shared" si="0"/>
        <v>0.90909090909090906</v>
      </c>
      <c r="H13" s="11">
        <v>2</v>
      </c>
      <c r="I13" s="10">
        <f>AVERAGE(L11:L12)</f>
        <v>107.54626500000001</v>
      </c>
      <c r="K13" s="26" t="s">
        <v>106</v>
      </c>
      <c r="L13">
        <f>I9+E10</f>
        <v>102.7625</v>
      </c>
    </row>
    <row r="14" spans="2:12" x14ac:dyDescent="0.55000000000000004">
      <c r="B14" s="11">
        <v>12</v>
      </c>
      <c r="C14" s="11">
        <v>2</v>
      </c>
      <c r="D14" s="11">
        <v>1.3</v>
      </c>
      <c r="E14" s="10">
        <v>1.0830900000000001</v>
      </c>
      <c r="F14" s="10">
        <f t="shared" si="0"/>
        <v>0.76923076923076916</v>
      </c>
      <c r="H14" s="11">
        <v>3</v>
      </c>
      <c r="I14" s="10">
        <f>AVERAGE(L13:L14)</f>
        <v>102.7621</v>
      </c>
      <c r="K14" s="26" t="s">
        <v>107</v>
      </c>
      <c r="L14">
        <f>I10+E12</f>
        <v>102.7617</v>
      </c>
    </row>
    <row r="15" spans="2:12" x14ac:dyDescent="0.55000000000000004">
      <c r="B15" s="11">
        <v>2</v>
      </c>
      <c r="C15" s="11">
        <v>1</v>
      </c>
      <c r="D15" s="11">
        <v>0.7</v>
      </c>
      <c r="E15" s="10">
        <v>-0.45495000000000002</v>
      </c>
      <c r="F15" s="10">
        <f t="shared" si="0"/>
        <v>1.4285714285714286</v>
      </c>
    </row>
    <row r="16" spans="2:12" x14ac:dyDescent="0.55000000000000004">
      <c r="B16" s="11">
        <v>3</v>
      </c>
      <c r="C16" s="11">
        <v>2</v>
      </c>
      <c r="D16" s="11">
        <v>0.6</v>
      </c>
      <c r="E16" s="10">
        <v>4.7834500000000002</v>
      </c>
      <c r="F16" s="10">
        <f t="shared" si="0"/>
        <v>1.6666666666666667</v>
      </c>
    </row>
    <row r="19" spans="2:18" x14ac:dyDescent="0.55000000000000004">
      <c r="C19" s="3" t="s">
        <v>91</v>
      </c>
      <c r="D19" s="3" t="s">
        <v>92</v>
      </c>
      <c r="E19" s="3" t="s">
        <v>93</v>
      </c>
      <c r="F19" s="3"/>
      <c r="G19" s="3"/>
      <c r="H19" s="3"/>
    </row>
    <row r="20" spans="2:18" x14ac:dyDescent="0.55000000000000004">
      <c r="C20" s="22">
        <v>1</v>
      </c>
      <c r="D20" s="23">
        <v>0</v>
      </c>
      <c r="E20" s="24">
        <v>0</v>
      </c>
      <c r="H20" s="8">
        <f>(I12-I9-E9)*1000</f>
        <v>-1.7799999999996707</v>
      </c>
      <c r="K20" s="4">
        <f>F9</f>
        <v>0.83333333333333337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6">
        <v>0</v>
      </c>
    </row>
    <row r="21" spans="2:18" x14ac:dyDescent="0.55000000000000004">
      <c r="C21" s="22">
        <v>0</v>
      </c>
      <c r="D21" s="23">
        <v>0</v>
      </c>
      <c r="E21" s="24">
        <v>1</v>
      </c>
      <c r="H21" s="8">
        <f>(I14-I9-E10)*1000</f>
        <v>-0.39999999999329461</v>
      </c>
      <c r="K21" s="4">
        <v>0</v>
      </c>
      <c r="L21" s="5">
        <f>F10</f>
        <v>0.55555555555555558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6">
        <v>0</v>
      </c>
    </row>
    <row r="22" spans="2:18" x14ac:dyDescent="0.55000000000000004">
      <c r="C22" s="22">
        <v>0</v>
      </c>
      <c r="D22" s="23">
        <v>1</v>
      </c>
      <c r="E22" s="24">
        <v>0</v>
      </c>
      <c r="H22" s="8">
        <f>(I13-I10-E11)*1000</f>
        <v>-7.4999999994496136E-2</v>
      </c>
      <c r="K22" s="4">
        <v>0</v>
      </c>
      <c r="L22" s="5">
        <v>0</v>
      </c>
      <c r="M22" s="5">
        <f>F11</f>
        <v>1.1111111111111112</v>
      </c>
      <c r="N22" s="5">
        <v>0</v>
      </c>
      <c r="O22" s="5">
        <v>0</v>
      </c>
      <c r="P22" s="5">
        <v>0</v>
      </c>
      <c r="Q22" s="5">
        <v>0</v>
      </c>
      <c r="R22" s="6">
        <v>0</v>
      </c>
    </row>
    <row r="23" spans="2:18" x14ac:dyDescent="0.55000000000000004">
      <c r="B23" s="3" t="s">
        <v>16</v>
      </c>
      <c r="C23" s="22">
        <v>0</v>
      </c>
      <c r="D23" s="23">
        <v>0</v>
      </c>
      <c r="E23" s="24">
        <v>1</v>
      </c>
      <c r="G23" s="3" t="s">
        <v>39</v>
      </c>
      <c r="H23" s="8">
        <f>(I14-I10-E12)*1000</f>
        <v>0.40000000000395275</v>
      </c>
      <c r="J23" s="3" t="s">
        <v>40</v>
      </c>
      <c r="K23" s="4">
        <v>0</v>
      </c>
      <c r="L23" s="5">
        <v>0</v>
      </c>
      <c r="M23" s="5">
        <v>0</v>
      </c>
      <c r="N23" s="5">
        <f>F12</f>
        <v>0.7142857142857143</v>
      </c>
      <c r="O23" s="5">
        <v>0</v>
      </c>
      <c r="P23" s="5">
        <v>0</v>
      </c>
      <c r="Q23" s="5">
        <v>0</v>
      </c>
      <c r="R23" s="6">
        <v>0</v>
      </c>
    </row>
    <row r="24" spans="2:18" x14ac:dyDescent="0.55000000000000004">
      <c r="C24" s="22">
        <v>1</v>
      </c>
      <c r="D24" s="23">
        <v>0</v>
      </c>
      <c r="E24" s="24">
        <v>0</v>
      </c>
      <c r="H24" s="8">
        <f>(I12-I11-E13)*1000</f>
        <v>1.7800000000004479</v>
      </c>
      <c r="K24" s="4">
        <v>0</v>
      </c>
      <c r="L24" s="5">
        <v>0</v>
      </c>
      <c r="M24" s="5">
        <v>0</v>
      </c>
      <c r="N24" s="5">
        <v>0</v>
      </c>
      <c r="O24" s="5">
        <f>F13</f>
        <v>0.90909090909090906</v>
      </c>
      <c r="P24" s="5">
        <v>0</v>
      </c>
      <c r="Q24" s="5">
        <v>0</v>
      </c>
      <c r="R24" s="6">
        <v>0</v>
      </c>
    </row>
    <row r="25" spans="2:18" x14ac:dyDescent="0.55000000000000004">
      <c r="C25" s="22">
        <v>0</v>
      </c>
      <c r="D25" s="23">
        <v>1</v>
      </c>
      <c r="E25" s="24">
        <v>0</v>
      </c>
      <c r="H25" s="8">
        <f>(I13-I11-E14)*1000</f>
        <v>7.5000000008040857E-2</v>
      </c>
      <c r="K25" s="4">
        <v>0</v>
      </c>
      <c r="L25" s="5">
        <v>0</v>
      </c>
      <c r="M25" s="5">
        <v>0</v>
      </c>
      <c r="N25" s="5">
        <v>0</v>
      </c>
      <c r="O25" s="5">
        <v>0</v>
      </c>
      <c r="P25" s="5">
        <f>F14</f>
        <v>0.76923076923076916</v>
      </c>
      <c r="Q25" s="5">
        <v>0</v>
      </c>
      <c r="R25" s="6">
        <v>0</v>
      </c>
    </row>
    <row r="26" spans="2:18" x14ac:dyDescent="0.55000000000000004">
      <c r="C26" s="22">
        <v>1</v>
      </c>
      <c r="D26" s="23">
        <v>-1</v>
      </c>
      <c r="E26" s="24">
        <v>0</v>
      </c>
      <c r="H26" s="8">
        <f>(I12-I13-E15)*1000</f>
        <v>-3.5000000007723298E-2</v>
      </c>
      <c r="K26" s="4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f>F15</f>
        <v>1.4285714285714286</v>
      </c>
      <c r="R26" s="6">
        <v>0</v>
      </c>
    </row>
    <row r="27" spans="2:18" x14ac:dyDescent="0.55000000000000004">
      <c r="C27" s="22">
        <v>0</v>
      </c>
      <c r="D27" s="23">
        <v>1</v>
      </c>
      <c r="E27" s="24">
        <v>-1</v>
      </c>
      <c r="H27" s="8">
        <f>(I13-I14-E16)*1000</f>
        <v>0.71500000000135344</v>
      </c>
      <c r="K27" s="4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6">
        <f>F16</f>
        <v>1.6666666666666667</v>
      </c>
    </row>
    <row r="28" spans="2:18" x14ac:dyDescent="0.55000000000000004">
      <c r="C28" s="3"/>
      <c r="D28" s="3"/>
      <c r="E28" s="3"/>
      <c r="F28" s="3"/>
      <c r="G28" s="3"/>
      <c r="H28" s="3"/>
    </row>
    <row r="30" spans="2:18" x14ac:dyDescent="0.55000000000000004">
      <c r="C30" s="4">
        <f t="array" ref="C30:E32">MMULT(MMULT(TRANSPOSE(C20:E27),K20:R27),C20:E27)</f>
        <v>3.170995670995671</v>
      </c>
      <c r="D30" s="5">
        <v>-1.4285714285714286</v>
      </c>
      <c r="E30" s="6">
        <v>0</v>
      </c>
      <c r="H30" s="8">
        <f t="array" ref="H30:H32">MMULT(MMULT(TRANSPOSE(C20:E27),K20:R27),H20:H27)</f>
        <v>8.4848484838133176E-2</v>
      </c>
    </row>
    <row r="31" spans="2:18" x14ac:dyDescent="0.55000000000000004">
      <c r="B31" s="3" t="s">
        <v>41</v>
      </c>
      <c r="C31" s="4">
        <v>-1.4285714285714286</v>
      </c>
      <c r="D31" s="5">
        <v>4.9755799755799757</v>
      </c>
      <c r="E31" s="6">
        <v>-1.6666666666666667</v>
      </c>
      <c r="G31" s="3" t="s">
        <v>42</v>
      </c>
      <c r="H31" s="8">
        <v>1.2160256410512307</v>
      </c>
    </row>
    <row r="32" spans="2:18" x14ac:dyDescent="0.55000000000000004">
      <c r="C32" s="4">
        <v>0</v>
      </c>
      <c r="D32" s="5">
        <v>-1.6666666666666667</v>
      </c>
      <c r="E32" s="6">
        <v>2.9365079365079367</v>
      </c>
      <c r="H32" s="8">
        <v>-1.1281746031703104</v>
      </c>
    </row>
    <row r="35" spans="2:18" x14ac:dyDescent="0.55000000000000004">
      <c r="C35" s="4" cm="1">
        <f t="array" ref="C35:E37">MINVERSE(C30:E32)</f>
        <v>0.37529878808340217</v>
      </c>
      <c r="D35" s="5">
        <v>0.13304958263967309</v>
      </c>
      <c r="E35" s="6">
        <v>7.5514627984679325E-2</v>
      </c>
      <c r="H35" s="8">
        <f t="array" ref="H35:H37">-MMULT(C35:E37,H30:H32)</f>
        <v>-0.10844155209130228</v>
      </c>
      <c r="K35" s="8">
        <f t="array" ref="K35:K42">MMULT(C20:E27,H35:H37)+H20:H27</f>
        <v>-1.888441552090973</v>
      </c>
      <c r="M35" t="s">
        <v>45</v>
      </c>
      <c r="N35">
        <f t="array" ref="N35">SQRT(MMULT(MMULT(TRANSPOSE(K35:K42),K20:R27),K35:K42)/N36)</f>
        <v>1.0992017606055038</v>
      </c>
      <c r="P35" s="27">
        <f t="array" ref="P35">MMULT(MMULT(TRANSPOSE(K35:K42),K20:R27),K35:K42)</f>
        <v>6.0412225525911971</v>
      </c>
      <c r="Q35" s="10">
        <f t="array" ref="Q35">MMULT(MMULT(TRANSPOSE(H20:H27),K20:R27),H20:H27)+MMULT(TRANSPOSE(H30:H32),H35:H37)</f>
        <v>6.041222552591198</v>
      </c>
      <c r="R35" s="19" t="s">
        <v>79</v>
      </c>
    </row>
    <row r="36" spans="2:18" x14ac:dyDescent="0.55000000000000004">
      <c r="B36" s="3" t="s">
        <v>43</v>
      </c>
      <c r="C36" s="4">
        <v>0.13304958263967309</v>
      </c>
      <c r="D36" s="5">
        <v>0.29532975540472889</v>
      </c>
      <c r="E36" s="6">
        <v>0.16761959090538667</v>
      </c>
      <c r="G36" s="3" t="s">
        <v>44</v>
      </c>
      <c r="H36" s="8">
        <v>-0.18131344517960651</v>
      </c>
      <c r="K36" s="8">
        <v>-0.11871844185345209</v>
      </c>
      <c r="M36" t="s">
        <v>46</v>
      </c>
      <c r="N36">
        <f>8-3</f>
        <v>5</v>
      </c>
    </row>
    <row r="37" spans="2:18" x14ac:dyDescent="0.55000000000000004">
      <c r="C37" s="4">
        <v>7.5514627984679311E-2</v>
      </c>
      <c r="D37" s="5">
        <v>0.16761959090538667</v>
      </c>
      <c r="E37" s="6">
        <v>0.43567598402738161</v>
      </c>
      <c r="H37" s="8">
        <v>0.28128155813984251</v>
      </c>
      <c r="K37" s="8">
        <v>-0.25631344517410265</v>
      </c>
    </row>
    <row r="38" spans="2:18" x14ac:dyDescent="0.55000000000000004">
      <c r="J38" s="3" t="s">
        <v>47</v>
      </c>
      <c r="K38" s="8">
        <v>0.68128155814379521</v>
      </c>
    </row>
    <row r="39" spans="2:18" x14ac:dyDescent="0.55000000000000004">
      <c r="K39" s="8">
        <v>1.6715584479091457</v>
      </c>
    </row>
    <row r="40" spans="2:18" x14ac:dyDescent="0.55000000000000004">
      <c r="K40" s="8">
        <v>-0.10631344517156566</v>
      </c>
    </row>
    <row r="41" spans="2:18" x14ac:dyDescent="0.55000000000000004">
      <c r="K41" s="8">
        <v>3.7871893080580935E-2</v>
      </c>
    </row>
    <row r="42" spans="2:18" x14ac:dyDescent="0.55000000000000004">
      <c r="K42" s="8">
        <v>0.25240499668190441</v>
      </c>
    </row>
    <row r="45" spans="2:18" ht="18.3" x14ac:dyDescent="0.7">
      <c r="B45" s="15" t="s">
        <v>61</v>
      </c>
    </row>
    <row r="47" spans="2:18" x14ac:dyDescent="0.55000000000000004">
      <c r="B47" s="1" t="s">
        <v>62</v>
      </c>
      <c r="C47">
        <f>N35^2</f>
        <v>1.2082445105182393</v>
      </c>
      <c r="D47" s="3" t="s">
        <v>64</v>
      </c>
      <c r="E47" s="1" t="s">
        <v>63</v>
      </c>
      <c r="F47">
        <f>FINV(H49,N36,10000)</f>
        <v>2.2149931674074903</v>
      </c>
    </row>
    <row r="49" spans="2:8" ht="15.6" x14ac:dyDescent="0.6">
      <c r="B49" s="29" t="s">
        <v>65</v>
      </c>
      <c r="C49" s="29"/>
      <c r="D49" s="29"/>
      <c r="E49" s="29"/>
      <c r="F49" s="29"/>
      <c r="G49" s="2" t="s">
        <v>0</v>
      </c>
      <c r="H49" s="16">
        <v>0.05</v>
      </c>
    </row>
    <row r="52" spans="2:8" ht="18.3" x14ac:dyDescent="0.55000000000000004">
      <c r="B52" s="18" t="s">
        <v>66</v>
      </c>
    </row>
    <row r="54" spans="2:8" x14ac:dyDescent="0.55000000000000004">
      <c r="B54" s="1" t="s">
        <v>95</v>
      </c>
      <c r="C54">
        <f>I12+H35/1000</f>
        <v>107.09117155844791</v>
      </c>
    </row>
    <row r="55" spans="2:8" x14ac:dyDescent="0.55000000000000004">
      <c r="B55" s="1" t="s">
        <v>96</v>
      </c>
      <c r="C55">
        <f t="shared" ref="C55:C56" si="1">I13+H36/1000</f>
        <v>107.54608368655482</v>
      </c>
    </row>
    <row r="56" spans="2:8" x14ac:dyDescent="0.55000000000000004">
      <c r="B56" s="1" t="s">
        <v>97</v>
      </c>
      <c r="C56">
        <f t="shared" si="1"/>
        <v>102.76238128155815</v>
      </c>
    </row>
    <row r="59" spans="2:8" ht="18.3" x14ac:dyDescent="0.55000000000000004">
      <c r="B59" s="18" t="s">
        <v>70</v>
      </c>
    </row>
    <row r="61" spans="2:8" x14ac:dyDescent="0.55000000000000004">
      <c r="B61" s="11" t="s">
        <v>85</v>
      </c>
      <c r="C61" s="11" t="s">
        <v>86</v>
      </c>
      <c r="D61" s="21" t="s">
        <v>98</v>
      </c>
    </row>
    <row r="62" spans="2:8" x14ac:dyDescent="0.55000000000000004">
      <c r="B62" s="11">
        <v>10</v>
      </c>
      <c r="C62" s="11">
        <v>1</v>
      </c>
      <c r="D62" s="10">
        <f>E9+K35/1000</f>
        <v>2.1935715584479092</v>
      </c>
    </row>
    <row r="63" spans="2:8" x14ac:dyDescent="0.55000000000000004">
      <c r="B63" s="11">
        <v>10</v>
      </c>
      <c r="C63" s="11">
        <v>3</v>
      </c>
      <c r="D63" s="10">
        <f t="shared" ref="D63:D69" si="2">E10+K36/1000</f>
        <v>-2.1352187184418536</v>
      </c>
    </row>
    <row r="64" spans="2:8" x14ac:dyDescent="0.55000000000000004">
      <c r="B64" s="11">
        <v>11</v>
      </c>
      <c r="C64" s="11">
        <v>2</v>
      </c>
      <c r="D64" s="10">
        <f t="shared" si="2"/>
        <v>3.090183686554826</v>
      </c>
    </row>
    <row r="65" spans="2:7" x14ac:dyDescent="0.55000000000000004">
      <c r="B65" s="11">
        <v>11</v>
      </c>
      <c r="C65" s="11">
        <v>3</v>
      </c>
      <c r="D65" s="10">
        <f t="shared" si="2"/>
        <v>-1.6935187184418561</v>
      </c>
    </row>
    <row r="66" spans="2:7" x14ac:dyDescent="0.55000000000000004">
      <c r="B66" s="11">
        <v>12</v>
      </c>
      <c r="C66" s="11">
        <v>1</v>
      </c>
      <c r="D66" s="10">
        <f t="shared" si="2"/>
        <v>0.62807155844790907</v>
      </c>
    </row>
    <row r="67" spans="2:7" x14ac:dyDescent="0.55000000000000004">
      <c r="B67" s="11">
        <v>12</v>
      </c>
      <c r="C67" s="11">
        <v>2</v>
      </c>
      <c r="D67" s="10">
        <f t="shared" si="2"/>
        <v>1.0829836865548286</v>
      </c>
    </row>
    <row r="68" spans="2:7" x14ac:dyDescent="0.55000000000000004">
      <c r="B68" s="11">
        <v>2</v>
      </c>
      <c r="C68" s="11">
        <v>1</v>
      </c>
      <c r="D68" s="10">
        <f t="shared" si="2"/>
        <v>-0.45491212810691944</v>
      </c>
    </row>
    <row r="69" spans="2:7" x14ac:dyDescent="0.55000000000000004">
      <c r="B69" s="11">
        <v>3</v>
      </c>
      <c r="C69" s="11">
        <v>2</v>
      </c>
      <c r="D69" s="10">
        <f t="shared" si="2"/>
        <v>4.7837024049966823</v>
      </c>
    </row>
    <row r="72" spans="2:7" ht="18.3" x14ac:dyDescent="0.7">
      <c r="B72" s="17" t="s">
        <v>77</v>
      </c>
    </row>
    <row r="74" spans="2:7" x14ac:dyDescent="0.55000000000000004">
      <c r="C74" s="8">
        <f>((C54-I9)-E9)*1000</f>
        <v>-1.8884415520861175</v>
      </c>
      <c r="F74" s="8">
        <f t="array" ref="F74:F81">ROUND(C74:C81-K35:K42,3)</f>
        <v>0</v>
      </c>
      <c r="G74" s="19" t="s">
        <v>79</v>
      </c>
    </row>
    <row r="75" spans="2:7" x14ac:dyDescent="0.55000000000000004">
      <c r="C75" s="8">
        <f>((C56-I9)-E10)*1000</f>
        <v>-0.11871844184829783</v>
      </c>
      <c r="F75" s="8">
        <v>0</v>
      </c>
      <c r="G75" s="19" t="s">
        <v>79</v>
      </c>
    </row>
    <row r="76" spans="2:7" x14ac:dyDescent="0.55000000000000004">
      <c r="C76" s="8">
        <f>((C55-I10)-E11)*1000</f>
        <v>-0.25631344517673682</v>
      </c>
      <c r="F76" s="8">
        <v>0</v>
      </c>
      <c r="G76" s="19" t="s">
        <v>79</v>
      </c>
    </row>
    <row r="77" spans="2:7" x14ac:dyDescent="0.55000000000000004">
      <c r="B77" s="3" t="s">
        <v>78</v>
      </c>
      <c r="C77" s="8">
        <f>((C56-I10)-E12)*1000</f>
        <v>0.68128155814894953</v>
      </c>
      <c r="E77" s="3" t="s">
        <v>80</v>
      </c>
      <c r="F77" s="8">
        <v>0</v>
      </c>
      <c r="G77" s="19" t="s">
        <v>79</v>
      </c>
    </row>
    <row r="78" spans="2:7" x14ac:dyDescent="0.55000000000000004">
      <c r="C78" s="8">
        <f>((C54-I11)-E13)*1000</f>
        <v>1.6715584479140011</v>
      </c>
      <c r="F78" s="8">
        <v>0</v>
      </c>
      <c r="G78" s="19" t="s">
        <v>79</v>
      </c>
    </row>
    <row r="79" spans="2:7" x14ac:dyDescent="0.55000000000000004">
      <c r="C79" s="8">
        <f>((C55-I11)-E14)*1000</f>
        <v>-0.10631344517419983</v>
      </c>
      <c r="F79" s="8">
        <v>0</v>
      </c>
      <c r="G79" s="19" t="s">
        <v>79</v>
      </c>
    </row>
    <row r="80" spans="2:7" x14ac:dyDescent="0.55000000000000004">
      <c r="C80" s="8">
        <f>((C54-C55)-E15)*1000</f>
        <v>3.7871893088070596E-2</v>
      </c>
      <c r="F80" s="8">
        <v>0</v>
      </c>
      <c r="G80" s="19" t="s">
        <v>79</v>
      </c>
    </row>
    <row r="81" spans="2:7" x14ac:dyDescent="0.55000000000000004">
      <c r="C81" s="8">
        <f>((C55-C56)-E16)*1000</f>
        <v>0.25240499667411598</v>
      </c>
      <c r="F81" s="8">
        <v>0</v>
      </c>
      <c r="G81" s="19" t="s">
        <v>79</v>
      </c>
    </row>
    <row r="84" spans="2:7" ht="18.3" x14ac:dyDescent="0.7">
      <c r="B84" s="20" t="s">
        <v>81</v>
      </c>
    </row>
    <row r="86" spans="2:7" x14ac:dyDescent="0.55000000000000004">
      <c r="B86" s="2" t="s">
        <v>99</v>
      </c>
      <c r="C86">
        <f>$N$35*SQRT(C35)</f>
        <v>0.67338896672422444</v>
      </c>
    </row>
    <row r="87" spans="2:7" x14ac:dyDescent="0.55000000000000004">
      <c r="B87" s="2" t="s">
        <v>100</v>
      </c>
      <c r="C87">
        <f>$N$35*SQRT(D36)</f>
        <v>0.59735295743844607</v>
      </c>
    </row>
    <row r="88" spans="2:7" x14ac:dyDescent="0.55000000000000004">
      <c r="B88" s="2" t="s">
        <v>101</v>
      </c>
      <c r="C88">
        <f>$N$35*SQRT(E37)</f>
        <v>0.72553643331380402</v>
      </c>
    </row>
  </sheetData>
  <mergeCells count="1">
    <mergeCell ref="B49:F49"/>
  </mergeCells>
  <phoneticPr fontId="6" type="noConversion"/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Primer 1</vt:lpstr>
      <vt:lpstr>Primer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Mehmed Batilovic</dc:creator>
  <cp:lastModifiedBy>Mehmed Batilovic</cp:lastModifiedBy>
  <dcterms:created xsi:type="dcterms:W3CDTF">2020-03-25T08:18:30Z</dcterms:created>
  <dcterms:modified xsi:type="dcterms:W3CDTF">2020-05-07T09:20:47Z</dcterms:modified>
</cp:coreProperties>
</file>